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b-mydocs01.watc.local\employees\svanstipdonk\Desktop\"/>
    </mc:Choice>
  </mc:AlternateContent>
  <workbookProtection workbookAlgorithmName="SHA-512" workbookHashValue="kVbivmJF/IvISquyoIf9NCQwfshBhRBzcHPQFJ52hwoKnuPqc3icYdzNZP722a3o8VOv9y9koYoi0dEoneDDEQ==" workbookSaltValue="yd9wtP6/Lrnlh9mslKiMtw==" workbookSpinCount="100000" lockStructure="1"/>
  <bookViews>
    <workbookView xWindow="0" yWindow="0" windowWidth="28800" windowHeight="12300"/>
  </bookViews>
  <sheets>
    <sheet name="Comparison" sheetId="1" r:id="rId1"/>
    <sheet name="Rates" sheetId="2" state="hidden" r:id="rId2"/>
  </sheets>
  <definedNames>
    <definedName name="BrandOOP">Rates!$K$13</definedName>
    <definedName name="child1">Comparison!$H$37</definedName>
    <definedName name="child2">Comparison!$J$37</definedName>
    <definedName name="child3">Comparison!$L$37</definedName>
    <definedName name="child4">Comparison!$N$37</definedName>
    <definedName name="GenericOOP">Rates!$K$12</definedName>
    <definedName name="HSAcatchup">Rates!$K$11</definedName>
    <definedName name="HSAfamily">Rates!$K$10</definedName>
    <definedName name="HSAsingle">Rates!$K$9</definedName>
    <definedName name="ListCH">Rates!$A$20:$A$24</definedName>
    <definedName name="ListEE">Rates!$A$15</definedName>
    <definedName name="ListFAM">Rates!$A$26:$A$31</definedName>
    <definedName name="ListSP">Rates!$A$17:$A$18</definedName>
    <definedName name="NonFormularyOOP">Rates!$K$14</definedName>
    <definedName name="_xlnm.Print_Area" localSheetId="0">Comparison!$A$1:$N$103</definedName>
    <definedName name="_xlnm.Print_Area" localSheetId="1">Rates!$A$1:$K$14</definedName>
    <definedName name="RateLookup">Rates!$A$4:$K$7</definedName>
    <definedName name="RateLookup2">Rates!$M$4:$W$7</definedName>
    <definedName name="RateLookup3">Rates!$Y$4:$AI$7</definedName>
    <definedName name="RateLookup4">Rates!$AK$4:$AU$7</definedName>
    <definedName name="RxDefaults">Rates!$A$33:$C$35</definedName>
    <definedName name="RxTiers">Rates!$A$33:$A$35</definedName>
    <definedName name="SPcharge">Rates!$C$9</definedName>
    <definedName name="SurchargeSP">Rates!$A$9:$A$10</definedName>
    <definedName name="TierLookup">Rates!$A$4:$B$7</definedName>
    <definedName name="Tiers">Rates!$A$4:$A$7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44" i="1" l="1"/>
  <c r="Q44" i="1"/>
  <c r="AR40" i="1"/>
  <c r="AR39" i="1"/>
  <c r="AR38" i="1"/>
  <c r="AI40" i="1"/>
  <c r="AI39" i="1"/>
  <c r="AI38" i="1"/>
  <c r="Z40" i="1"/>
  <c r="Z39" i="1"/>
  <c r="Z38" i="1"/>
  <c r="Q40" i="1"/>
  <c r="Q39" i="1"/>
  <c r="Q38" i="1"/>
  <c r="D90" i="1" l="1"/>
  <c r="D91" i="1" s="1"/>
  <c r="F90" i="1"/>
  <c r="F91" i="1" s="1"/>
  <c r="D94" i="1"/>
  <c r="F94" i="1"/>
  <c r="D102" i="1"/>
  <c r="F102" i="1"/>
  <c r="D87" i="1"/>
  <c r="J79" i="1"/>
  <c r="H79" i="1"/>
  <c r="J75" i="1"/>
  <c r="H75" i="1"/>
  <c r="J74" i="1"/>
  <c r="H74" i="1"/>
  <c r="J12" i="1"/>
  <c r="J11" i="1"/>
  <c r="H12" i="1"/>
  <c r="H11" i="1"/>
  <c r="D95" i="1" l="1"/>
  <c r="D101" i="1"/>
  <c r="F92" i="1"/>
  <c r="F96" i="1"/>
  <c r="D92" i="1"/>
  <c r="F95" i="1"/>
  <c r="F93" i="1"/>
  <c r="D96" i="1"/>
  <c r="D93" i="1"/>
  <c r="J61" i="1"/>
  <c r="C3" i="2"/>
  <c r="E3" i="2"/>
  <c r="G3" i="2"/>
  <c r="I3" i="2"/>
  <c r="U3" i="2"/>
  <c r="A9" i="2"/>
  <c r="A21" i="2"/>
  <c r="A22" i="2"/>
  <c r="A23" i="2"/>
  <c r="A24" i="2"/>
  <c r="A28" i="2"/>
  <c r="A29" i="2"/>
  <c r="A30" i="2"/>
  <c r="A31" i="2"/>
  <c r="D11" i="1"/>
  <c r="F11" i="1"/>
  <c r="D12" i="1"/>
  <c r="F12" i="1"/>
  <c r="P27" i="1"/>
  <c r="AZ27" i="1" s="1"/>
  <c r="CJ27" i="1" s="1"/>
  <c r="DT27" i="1" s="1"/>
  <c r="Y27" i="1"/>
  <c r="BI27" i="1" s="1"/>
  <c r="CS27" i="1" s="1"/>
  <c r="EC27" i="1" s="1"/>
  <c r="AH27" i="1"/>
  <c r="BR27" i="1" s="1"/>
  <c r="DB27" i="1" s="1"/>
  <c r="EL27" i="1" s="1"/>
  <c r="AQ27" i="1"/>
  <c r="CA27" i="1"/>
  <c r="DK27" i="1"/>
  <c r="EU27" i="1"/>
  <c r="L29" i="1"/>
  <c r="Q29" i="1"/>
  <c r="Z29" i="1"/>
  <c r="AI29" i="1"/>
  <c r="AR29" i="1"/>
  <c r="BA29" i="1"/>
  <c r="BJ29" i="1"/>
  <c r="BS29" i="1"/>
  <c r="CB29" i="1"/>
  <c r="CK29" i="1"/>
  <c r="CT29" i="1"/>
  <c r="DC29" i="1"/>
  <c r="DL29" i="1"/>
  <c r="DU29" i="1"/>
  <c r="ED29" i="1"/>
  <c r="EM29" i="1"/>
  <c r="EV29" i="1"/>
  <c r="Q30" i="1"/>
  <c r="Z30" i="1"/>
  <c r="AI30" i="1"/>
  <c r="AR30" i="1"/>
  <c r="BA30" i="1"/>
  <c r="BJ30" i="1"/>
  <c r="BS30" i="1"/>
  <c r="CB30" i="1"/>
  <c r="CK30" i="1"/>
  <c r="CT30" i="1"/>
  <c r="DC30" i="1"/>
  <c r="DL30" i="1"/>
  <c r="DU30" i="1"/>
  <c r="ED30" i="1"/>
  <c r="EM30" i="1"/>
  <c r="EV30" i="1"/>
  <c r="Q31" i="1"/>
  <c r="Z31" i="1"/>
  <c r="AI31" i="1"/>
  <c r="AR31" i="1"/>
  <c r="BA31" i="1"/>
  <c r="BJ31" i="1"/>
  <c r="BS31" i="1"/>
  <c r="CB31" i="1"/>
  <c r="CK31" i="1"/>
  <c r="CT31" i="1"/>
  <c r="DC31" i="1"/>
  <c r="DL31" i="1"/>
  <c r="DU31" i="1"/>
  <c r="ED31" i="1"/>
  <c r="EM31" i="1"/>
  <c r="EV31" i="1"/>
  <c r="S37" i="1"/>
  <c r="T37" i="1"/>
  <c r="U37" i="1"/>
  <c r="V37" i="1"/>
  <c r="AB37" i="1"/>
  <c r="AC37" i="1"/>
  <c r="AD37" i="1"/>
  <c r="AE37" i="1"/>
  <c r="AK37" i="1"/>
  <c r="AL37" i="1"/>
  <c r="AM37" i="1"/>
  <c r="AN37" i="1"/>
  <c r="AT37" i="1"/>
  <c r="AU37" i="1"/>
  <c r="AV37" i="1"/>
  <c r="AW37" i="1"/>
  <c r="Q48" i="1"/>
  <c r="H46" i="1"/>
  <c r="J46" i="1"/>
  <c r="L46" i="1"/>
  <c r="N46" i="1"/>
  <c r="S46" i="1"/>
  <c r="S62" i="1" s="1"/>
  <c r="T46" i="1"/>
  <c r="T62" i="1" s="1"/>
  <c r="U46" i="1"/>
  <c r="U63" i="1" s="1"/>
  <c r="V46" i="1"/>
  <c r="V61" i="1" s="1"/>
  <c r="AB46" i="1"/>
  <c r="AC46" i="1"/>
  <c r="AC61" i="1" s="1"/>
  <c r="AD46" i="1"/>
  <c r="AD62" i="1" s="1"/>
  <c r="AE46" i="1"/>
  <c r="AE63" i="1" s="1"/>
  <c r="AK46" i="1"/>
  <c r="AL46" i="1"/>
  <c r="AM46" i="1"/>
  <c r="AN46" i="1"/>
  <c r="AT46" i="1"/>
  <c r="AU46" i="1"/>
  <c r="AV46" i="1"/>
  <c r="AW46" i="1"/>
  <c r="Q47" i="1"/>
  <c r="Z47" i="1"/>
  <c r="AI47" i="1"/>
  <c r="AR47" i="1"/>
  <c r="Q50" i="1"/>
  <c r="Z50" i="1"/>
  <c r="AI50" i="1"/>
  <c r="AR50" i="1"/>
  <c r="R61" i="1"/>
  <c r="T61" i="1"/>
  <c r="AA61" i="1"/>
  <c r="AB61" i="1"/>
  <c r="J62" i="1"/>
  <c r="N62" i="1" s="1"/>
  <c r="Q62" i="1"/>
  <c r="R62" i="1"/>
  <c r="Z62" i="1"/>
  <c r="AA62" i="1"/>
  <c r="AB62" i="1"/>
  <c r="J63" i="1"/>
  <c r="N63" i="1" s="1"/>
  <c r="Q63" i="1"/>
  <c r="R63" i="1"/>
  <c r="Z63" i="1"/>
  <c r="AA63" i="1"/>
  <c r="AB63" i="1"/>
  <c r="J64" i="1"/>
  <c r="N64" i="1" s="1"/>
  <c r="Q64" i="1"/>
  <c r="R64" i="1"/>
  <c r="Z64" i="1"/>
  <c r="AA64" i="1"/>
  <c r="AB64" i="1"/>
  <c r="AC64" i="1"/>
  <c r="J65" i="1"/>
  <c r="N65" i="1" s="1"/>
  <c r="Q65" i="1"/>
  <c r="R65" i="1"/>
  <c r="S65" i="1"/>
  <c r="Z65" i="1"/>
  <c r="AA65" i="1"/>
  <c r="AB65" i="1"/>
  <c r="J66" i="1"/>
  <c r="N66" i="1" s="1"/>
  <c r="Q66" i="1"/>
  <c r="R66" i="1"/>
  <c r="S66" i="1"/>
  <c r="Z66" i="1"/>
  <c r="AA66" i="1"/>
  <c r="AB66" i="1"/>
  <c r="AC66" i="1"/>
  <c r="J67" i="1"/>
  <c r="N67" i="1" s="1"/>
  <c r="Q67" i="1"/>
  <c r="R67" i="1"/>
  <c r="V67" i="1"/>
  <c r="Z67" i="1"/>
  <c r="AA67" i="1"/>
  <c r="AB67" i="1"/>
  <c r="AE67" i="1"/>
  <c r="J68" i="1"/>
  <c r="N68" i="1" s="1"/>
  <c r="Q68" i="1"/>
  <c r="R68" i="1"/>
  <c r="V68" i="1"/>
  <c r="Z68" i="1"/>
  <c r="AA68" i="1"/>
  <c r="AB68" i="1"/>
  <c r="AC68" i="1"/>
  <c r="J69" i="1"/>
  <c r="N69" i="1" s="1"/>
  <c r="Q69" i="1"/>
  <c r="R69" i="1"/>
  <c r="Z69" i="1"/>
  <c r="AA69" i="1"/>
  <c r="AB69" i="1"/>
  <c r="AC69" i="1"/>
  <c r="J70" i="1"/>
  <c r="N70" i="1" s="1"/>
  <c r="Q70" i="1"/>
  <c r="R70" i="1"/>
  <c r="Z70" i="1"/>
  <c r="AA70" i="1"/>
  <c r="AB70" i="1"/>
  <c r="AC70" i="1"/>
  <c r="D74" i="1"/>
  <c r="D89" i="1" s="1"/>
  <c r="F74" i="1"/>
  <c r="F89" i="1" s="1"/>
  <c r="D75" i="1"/>
  <c r="F75" i="1"/>
  <c r="D79" i="1"/>
  <c r="F79" i="1"/>
  <c r="Q61" i="1"/>
  <c r="Z61" i="1"/>
  <c r="T70" i="1" l="1"/>
  <c r="T69" i="1"/>
  <c r="T65" i="1"/>
  <c r="T67" i="1"/>
  <c r="AD61" i="1"/>
  <c r="AC62" i="1"/>
  <c r="T63" i="1"/>
  <c r="AE44" i="1"/>
  <c r="AE48" i="1" s="1"/>
  <c r="AE49" i="1" s="1"/>
  <c r="AA44" i="1"/>
  <c r="AA48" i="1" s="1"/>
  <c r="AA49" i="1" s="1"/>
  <c r="T44" i="1"/>
  <c r="T48" i="1" s="1"/>
  <c r="T49" i="1" s="1"/>
  <c r="AW40" i="1"/>
  <c r="AV39" i="1"/>
  <c r="AU38" i="1"/>
  <c r="AS40" i="1"/>
  <c r="AN38" i="1"/>
  <c r="AL40" i="1"/>
  <c r="AK39" i="1"/>
  <c r="AJ38" i="1"/>
  <c r="AE40" i="1"/>
  <c r="AA40" i="1"/>
  <c r="AC39" i="1"/>
  <c r="AE38" i="1"/>
  <c r="AA38" i="1"/>
  <c r="T40" i="1"/>
  <c r="V39" i="1"/>
  <c r="R39" i="1"/>
  <c r="T38" i="1"/>
  <c r="AB39" i="1"/>
  <c r="S40" i="1"/>
  <c r="S38" i="1"/>
  <c r="V44" i="1"/>
  <c r="V48" i="1" s="1"/>
  <c r="V49" i="1" s="1"/>
  <c r="R44" i="1"/>
  <c r="R48" i="1" s="1"/>
  <c r="R49" i="1" s="1"/>
  <c r="AU40" i="1"/>
  <c r="AS38" i="1"/>
  <c r="AM39" i="1"/>
  <c r="AJ40" i="1"/>
  <c r="AE39" i="1"/>
  <c r="AC38" i="1"/>
  <c r="R40" i="1"/>
  <c r="V38" i="1"/>
  <c r="R38" i="1"/>
  <c r="U44" i="1"/>
  <c r="U48" i="1" s="1"/>
  <c r="U49" i="1" s="1"/>
  <c r="AU39" i="1"/>
  <c r="AT38" i="1"/>
  <c r="AM38" i="1"/>
  <c r="AJ39" i="1"/>
  <c r="AD39" i="1"/>
  <c r="S39" i="1"/>
  <c r="AD44" i="1"/>
  <c r="AD48" i="1" s="1"/>
  <c r="AD49" i="1" s="1"/>
  <c r="S44" i="1"/>
  <c r="S48" i="1" s="1"/>
  <c r="S49" i="1" s="1"/>
  <c r="AW39" i="1"/>
  <c r="AV38" i="1"/>
  <c r="AT40" i="1"/>
  <c r="AS39" i="1"/>
  <c r="AM40" i="1"/>
  <c r="AL39" i="1"/>
  <c r="AK38" i="1"/>
  <c r="AD40" i="1"/>
  <c r="AD38" i="1"/>
  <c r="U39" i="1"/>
  <c r="AC44" i="1"/>
  <c r="AC48" i="1" s="1"/>
  <c r="AC49" i="1" s="1"/>
  <c r="AW38" i="1"/>
  <c r="AT39" i="1"/>
  <c r="AN40" i="1"/>
  <c r="AL38" i="1"/>
  <c r="AC40" i="1"/>
  <c r="AA39" i="1"/>
  <c r="V40" i="1"/>
  <c r="T39" i="1"/>
  <c r="AB44" i="1"/>
  <c r="AB48" i="1" s="1"/>
  <c r="AB49" i="1" s="1"/>
  <c r="AV40" i="1"/>
  <c r="AN39" i="1"/>
  <c r="AK40" i="1"/>
  <c r="AB40" i="1"/>
  <c r="AB38" i="1"/>
  <c r="U38" i="1"/>
  <c r="U40" i="1"/>
  <c r="AK47" i="1"/>
  <c r="AN50" i="1"/>
  <c r="V50" i="1"/>
  <c r="AV47" i="1"/>
  <c r="S47" i="1"/>
  <c r="U50" i="1"/>
  <c r="AD47" i="1"/>
  <c r="R47" i="1"/>
  <c r="AC50" i="1"/>
  <c r="AN47" i="1"/>
  <c r="AC47" i="1"/>
  <c r="N61" i="1"/>
  <c r="AE70" i="1"/>
  <c r="AE66" i="1"/>
  <c r="AE64" i="1"/>
  <c r="AE61" i="1"/>
  <c r="V70" i="1"/>
  <c r="AE65" i="1"/>
  <c r="V64" i="1"/>
  <c r="AE62" i="1"/>
  <c r="AE69" i="1"/>
  <c r="AE68" i="1"/>
  <c r="V62" i="1"/>
  <c r="V51" i="1" s="1"/>
  <c r="AU50" i="1"/>
  <c r="AM50" i="1"/>
  <c r="AB50" i="1"/>
  <c r="R50" i="1"/>
  <c r="AU47" i="1"/>
  <c r="AJ47" i="1"/>
  <c r="AT50" i="1"/>
  <c r="AJ50" i="1"/>
  <c r="V47" i="1"/>
  <c r="S69" i="1"/>
  <c r="S64" i="1"/>
  <c r="S63" i="1"/>
  <c r="S61" i="1"/>
  <c r="S51" i="1" s="1"/>
  <c r="S68" i="1"/>
  <c r="V65" i="1"/>
  <c r="S70" i="1"/>
  <c r="V69" i="1"/>
  <c r="S67" i="1"/>
  <c r="V66" i="1"/>
  <c r="V63" i="1"/>
  <c r="AC51" i="1"/>
  <c r="AA51" i="1"/>
  <c r="Z48" i="1"/>
  <c r="Z49" i="1" s="1"/>
  <c r="Z51" i="1"/>
  <c r="Z53" i="1" s="1"/>
  <c r="AD69" i="1"/>
  <c r="U68" i="1"/>
  <c r="AD67" i="1"/>
  <c r="AD63" i="1"/>
  <c r="U62" i="1"/>
  <c r="U70" i="1"/>
  <c r="Q51" i="1"/>
  <c r="Q53" i="1" s="1"/>
  <c r="T68" i="1"/>
  <c r="AC67" i="1"/>
  <c r="T66" i="1"/>
  <c r="AC65" i="1"/>
  <c r="T64" i="1"/>
  <c r="AC63" i="1"/>
  <c r="U61" i="1"/>
  <c r="AW50" i="1"/>
  <c r="AS50" i="1"/>
  <c r="AL50" i="1"/>
  <c r="AE50" i="1"/>
  <c r="AA50" i="1"/>
  <c r="T50" i="1"/>
  <c r="AT47" i="1"/>
  <c r="AM47" i="1"/>
  <c r="AB47" i="1"/>
  <c r="U47" i="1"/>
  <c r="U66" i="1"/>
  <c r="AD65" i="1"/>
  <c r="U64" i="1"/>
  <c r="AD70" i="1"/>
  <c r="U69" i="1"/>
  <c r="AD68" i="1"/>
  <c r="U67" i="1"/>
  <c r="AD66" i="1"/>
  <c r="U65" i="1"/>
  <c r="AD64" i="1"/>
  <c r="AD51" i="1"/>
  <c r="AB51" i="1"/>
  <c r="T51" i="1"/>
  <c r="R51" i="1"/>
  <c r="AV50" i="1"/>
  <c r="AK50" i="1"/>
  <c r="AD50" i="1"/>
  <c r="S50" i="1"/>
  <c r="AW47" i="1"/>
  <c r="AS47" i="1"/>
  <c r="AL47" i="1"/>
  <c r="AE47" i="1"/>
  <c r="AA47" i="1"/>
  <c r="T47" i="1"/>
  <c r="Q49" i="1"/>
  <c r="AE51" i="1" l="1"/>
  <c r="AE53" i="1" s="1"/>
  <c r="AU44" i="1"/>
  <c r="AU48" i="1" s="1"/>
  <c r="AN44" i="1"/>
  <c r="AN48" i="1" s="1"/>
  <c r="AN49" i="1" s="1"/>
  <c r="AJ44" i="1"/>
  <c r="AJ48" i="1" s="1"/>
  <c r="AJ49" i="1" s="1"/>
  <c r="AM44" i="1"/>
  <c r="AM48" i="1" s="1"/>
  <c r="AM49" i="1" s="1"/>
  <c r="AT44" i="1"/>
  <c r="AT48" i="1" s="1"/>
  <c r="AW44" i="1"/>
  <c r="AW48" i="1" s="1"/>
  <c r="AW65" i="1" s="1"/>
  <c r="AS44" i="1"/>
  <c r="AS48" i="1" s="1"/>
  <c r="AL44" i="1"/>
  <c r="AL48" i="1" s="1"/>
  <c r="AL49" i="1" s="1"/>
  <c r="AV44" i="1"/>
  <c r="AV48" i="1" s="1"/>
  <c r="AR44" i="1"/>
  <c r="AR48" i="1" s="1"/>
  <c r="AK44" i="1"/>
  <c r="AK48" i="1" s="1"/>
  <c r="AK49" i="1" s="1"/>
  <c r="AI44" i="1"/>
  <c r="AU49" i="1"/>
  <c r="AX39" i="1"/>
  <c r="AX40" i="1"/>
  <c r="S53" i="1"/>
  <c r="AO39" i="1"/>
  <c r="AX50" i="1"/>
  <c r="U51" i="1"/>
  <c r="U53" i="1" s="1"/>
  <c r="AO47" i="1"/>
  <c r="AO38" i="1"/>
  <c r="AX47" i="1"/>
  <c r="W47" i="1"/>
  <c r="V53" i="1"/>
  <c r="W39" i="1"/>
  <c r="W40" i="1"/>
  <c r="AX38" i="1"/>
  <c r="W50" i="1"/>
  <c r="W48" i="1"/>
  <c r="W49" i="1"/>
  <c r="D77" i="1" s="1"/>
  <c r="W44" i="1"/>
  <c r="AB53" i="1"/>
  <c r="AF47" i="1"/>
  <c r="AO40" i="1"/>
  <c r="AF39" i="1"/>
  <c r="AD53" i="1"/>
  <c r="AF38" i="1"/>
  <c r="AF48" i="1"/>
  <c r="F76" i="1" s="1"/>
  <c r="AF40" i="1"/>
  <c r="AO50" i="1"/>
  <c r="AC53" i="1"/>
  <c r="R53" i="1"/>
  <c r="W38" i="1"/>
  <c r="AF44" i="1"/>
  <c r="AF49" i="1"/>
  <c r="AA53" i="1"/>
  <c r="T53" i="1"/>
  <c r="AF50" i="1"/>
  <c r="AW68" i="1" l="1"/>
  <c r="AS65" i="1"/>
  <c r="AW61" i="1"/>
  <c r="AW67" i="1"/>
  <c r="AF51" i="1"/>
  <c r="AT68" i="1"/>
  <c r="AU61" i="1"/>
  <c r="AT62" i="1"/>
  <c r="AT64" i="1"/>
  <c r="AU65" i="1"/>
  <c r="AX44" i="1"/>
  <c r="AT66" i="1"/>
  <c r="AT65" i="1"/>
  <c r="AS67" i="1"/>
  <c r="AW70" i="1"/>
  <c r="AW49" i="1"/>
  <c r="AU68" i="1"/>
  <c r="AV66" i="1"/>
  <c r="AT63" i="1"/>
  <c r="AU64" i="1"/>
  <c r="AT67" i="1"/>
  <c r="AS49" i="1"/>
  <c r="AW62" i="1"/>
  <c r="AU70" i="1"/>
  <c r="AU67" i="1"/>
  <c r="AO44" i="1"/>
  <c r="AS68" i="1"/>
  <c r="AS62" i="1"/>
  <c r="AS66" i="1"/>
  <c r="AS64" i="1"/>
  <c r="AI48" i="1"/>
  <c r="AO48" i="1" s="1"/>
  <c r="AT70" i="1"/>
  <c r="AT61" i="1"/>
  <c r="AT49" i="1"/>
  <c r="AS70" i="1"/>
  <c r="AS61" i="1"/>
  <c r="AW63" i="1"/>
  <c r="AW69" i="1"/>
  <c r="AU69" i="1"/>
  <c r="AV69" i="1"/>
  <c r="AV70" i="1"/>
  <c r="AU63" i="1"/>
  <c r="AX48" i="1"/>
  <c r="J76" i="1" s="1"/>
  <c r="AR64" i="1"/>
  <c r="AR63" i="1"/>
  <c r="AR65" i="1"/>
  <c r="AR61" i="1"/>
  <c r="AR68" i="1"/>
  <c r="AR69" i="1"/>
  <c r="AR62" i="1"/>
  <c r="AR67" i="1"/>
  <c r="AR66" i="1"/>
  <c r="AR49" i="1"/>
  <c r="AR70" i="1"/>
  <c r="AV65" i="1"/>
  <c r="AT69" i="1"/>
  <c r="AS63" i="1"/>
  <c r="AS69" i="1"/>
  <c r="AW66" i="1"/>
  <c r="AW64" i="1"/>
  <c r="AU62" i="1"/>
  <c r="AU66" i="1"/>
  <c r="AV68" i="1"/>
  <c r="AV67" i="1"/>
  <c r="AV62" i="1"/>
  <c r="AV64" i="1"/>
  <c r="AV63" i="1"/>
  <c r="AV49" i="1"/>
  <c r="AV61" i="1"/>
  <c r="W51" i="1"/>
  <c r="F77" i="1"/>
  <c r="D76" i="1"/>
  <c r="W53" i="1"/>
  <c r="AF53" i="1"/>
  <c r="AI49" i="1" l="1"/>
  <c r="AO49" i="1" s="1"/>
  <c r="H77" i="1" s="1"/>
  <c r="AV51" i="1"/>
  <c r="AV53" i="1" s="1"/>
  <c r="AU51" i="1"/>
  <c r="AU53" i="1" s="1"/>
  <c r="AS51" i="1"/>
  <c r="AS53" i="1" s="1"/>
  <c r="AX49" i="1"/>
  <c r="J77" i="1" s="1"/>
  <c r="AW51" i="1"/>
  <c r="AW53" i="1" s="1"/>
  <c r="AT51" i="1"/>
  <c r="AT53" i="1" s="1"/>
  <c r="AR51" i="1"/>
  <c r="AR53" i="1" s="1"/>
  <c r="H76" i="1"/>
  <c r="AI64" i="1"/>
  <c r="AI68" i="1"/>
  <c r="AI67" i="1"/>
  <c r="AI65" i="1"/>
  <c r="AI69" i="1"/>
  <c r="AI61" i="1"/>
  <c r="AI62" i="1"/>
  <c r="AI66" i="1"/>
  <c r="AI70" i="1"/>
  <c r="AI63" i="1"/>
  <c r="AJ62" i="1"/>
  <c r="AJ63" i="1"/>
  <c r="AJ61" i="1"/>
  <c r="AJ66" i="1"/>
  <c r="AJ67" i="1"/>
  <c r="AJ65" i="1"/>
  <c r="AJ70" i="1"/>
  <c r="AJ68" i="1"/>
  <c r="AJ69" i="1"/>
  <c r="AJ64" i="1"/>
  <c r="AN61" i="1"/>
  <c r="AN62" i="1"/>
  <c r="AN63" i="1"/>
  <c r="AK68" i="1"/>
  <c r="AK69" i="1"/>
  <c r="AK63" i="1"/>
  <c r="AM70" i="1"/>
  <c r="AM61" i="1"/>
  <c r="AL63" i="1"/>
  <c r="AL68" i="1"/>
  <c r="AL65" i="1"/>
  <c r="AN68" i="1"/>
  <c r="AM66" i="1"/>
  <c r="AL61" i="1"/>
  <c r="AN65" i="1"/>
  <c r="AN66" i="1"/>
  <c r="AN67" i="1"/>
  <c r="AK67" i="1"/>
  <c r="AK62" i="1"/>
  <c r="AM69" i="1"/>
  <c r="AM64" i="1"/>
  <c r="AL67" i="1"/>
  <c r="AL66" i="1"/>
  <c r="AL69" i="1"/>
  <c r="AN64" i="1"/>
  <c r="AK65" i="1"/>
  <c r="AM67" i="1"/>
  <c r="AN69" i="1"/>
  <c r="AN70" i="1"/>
  <c r="AK61" i="1"/>
  <c r="AK66" i="1"/>
  <c r="AM62" i="1"/>
  <c r="AM63" i="1"/>
  <c r="AM68" i="1"/>
  <c r="AL62" i="1"/>
  <c r="AL70" i="1"/>
  <c r="AK64" i="1"/>
  <c r="AK70" i="1"/>
  <c r="AM65" i="1"/>
  <c r="AL64" i="1"/>
  <c r="F78" i="1"/>
  <c r="F87" i="1" s="1"/>
  <c r="F86" i="1" s="1"/>
  <c r="D78" i="1"/>
  <c r="D80" i="1" s="1"/>
  <c r="D86" i="1" l="1"/>
  <c r="AX51" i="1"/>
  <c r="AX53" i="1"/>
  <c r="J78" i="1" s="1"/>
  <c r="J81" i="1" s="1"/>
  <c r="AK51" i="1"/>
  <c r="AK53" i="1" s="1"/>
  <c r="AL51" i="1"/>
  <c r="AL53" i="1" s="1"/>
  <c r="AM51" i="1"/>
  <c r="AM53" i="1" s="1"/>
  <c r="AN51" i="1"/>
  <c r="AN53" i="1" s="1"/>
  <c r="D81" i="1"/>
  <c r="F97" i="1" s="1"/>
  <c r="F81" i="1"/>
  <c r="D98" i="1" s="1"/>
  <c r="F80" i="1"/>
  <c r="J87" i="1" l="1"/>
  <c r="J80" i="1"/>
  <c r="F100" i="1"/>
  <c r="D100" i="1"/>
  <c r="D85" i="1"/>
  <c r="J82" i="1"/>
  <c r="J83" i="1" s="1"/>
  <c r="D83" i="1"/>
  <c r="F82" i="1"/>
  <c r="F85" i="1"/>
  <c r="AJ51" i="1"/>
  <c r="AJ53" i="1" s="1"/>
  <c r="AI51" i="1"/>
  <c r="AI53" i="1" s="1"/>
  <c r="AO53" i="1" l="1"/>
  <c r="H78" i="1" s="1"/>
  <c r="H81" i="1" s="1"/>
  <c r="AO51" i="1"/>
  <c r="H87" i="1" l="1"/>
  <c r="H80" i="1"/>
  <c r="D84" i="1"/>
  <c r="H82" i="1"/>
  <c r="H83" i="1" s="1"/>
  <c r="J84" i="1"/>
  <c r="H85" i="1"/>
  <c r="F84" i="1"/>
  <c r="D99" i="1"/>
  <c r="F99" i="1"/>
</calcChain>
</file>

<file path=xl/sharedStrings.xml><?xml version="1.0" encoding="utf-8"?>
<sst xmlns="http://schemas.openxmlformats.org/spreadsheetml/2006/main" count="259" uniqueCount="111">
  <si>
    <t>Your Coinsurance</t>
  </si>
  <si>
    <t>Your Deductible (Single)</t>
  </si>
  <si>
    <t>Your Deductible (Family)</t>
  </si>
  <si>
    <t>Your Coins. Max (Single)</t>
  </si>
  <si>
    <t>Your Coins. Max (Family)</t>
  </si>
  <si>
    <t>Ded.+Coins. Out-of-Pocket (Single)</t>
  </si>
  <si>
    <t>Ded.+Coins. Out-of-Pocket (Family)</t>
  </si>
  <si>
    <t>Office Visits - Specialist</t>
  </si>
  <si>
    <t>Emergency Room</t>
  </si>
  <si>
    <t>Rx Deductible (Single)</t>
  </si>
  <si>
    <t>Rx Deductible (Family)</t>
  </si>
  <si>
    <t>Step 1 – Your Coverage Level</t>
  </si>
  <si>
    <t>Please select your enrollment tier.</t>
  </si>
  <si>
    <t>Employee Only</t>
  </si>
  <si>
    <t>Employee + Spouse</t>
  </si>
  <si>
    <t>Employee + Child(ren)</t>
  </si>
  <si>
    <t>Employee + Family</t>
  </si>
  <si>
    <t>Select whether you will incur a spousal surcharge.</t>
  </si>
  <si>
    <t>Select whether you will be age 55+ in the next 12 months.</t>
  </si>
  <si>
    <t>Me</t>
  </si>
  <si>
    <t>Spouse</t>
  </si>
  <si>
    <t>Child 1</t>
  </si>
  <si>
    <t>Child 2</t>
  </si>
  <si>
    <t>Child 3</t>
  </si>
  <si>
    <t>Child 4</t>
  </si>
  <si>
    <t>Preventive Care</t>
  </si>
  <si>
    <t>Primary Care</t>
  </si>
  <si>
    <t>Specialist</t>
  </si>
  <si>
    <t>Office Visits -  Preventive Care</t>
  </si>
  <si>
    <t>Office Visits - Primary Care</t>
  </si>
  <si>
    <t>ListEE</t>
  </si>
  <si>
    <t>ListSP</t>
  </si>
  <si>
    <t>ListCH</t>
  </si>
  <si>
    <t>ListFAM</t>
  </si>
  <si>
    <t>Spouse Surcharge Waived</t>
  </si>
  <si>
    <t>Step 3 – Other Anticipated Expenses</t>
  </si>
  <si>
    <t>Step 4 – Your Prescriptions</t>
  </si>
  <si>
    <t>Description</t>
  </si>
  <si>
    <t>Person</t>
  </si>
  <si>
    <t>Type</t>
  </si>
  <si>
    <t>Cost per Script</t>
  </si>
  <si>
    <t># per Year</t>
  </si>
  <si>
    <t>Cost per Year</t>
  </si>
  <si>
    <t>After network discounting, emergency room visits are estimated at $500 and hospitalization at $10,000, but naturally each of these assumptions can vary greatly based on the circumstances.  For other items (MRI, pregnancy, surgery, etc.), enter a description and estimated cost.  All services except ER are assumed to be subject to Deductible and Coinsurance.</t>
  </si>
  <si>
    <t>Step 5 – Your Estimated Costs</t>
  </si>
  <si>
    <t>Your Premiums</t>
  </si>
  <si>
    <t>ER</t>
  </si>
  <si>
    <t>Total Deductible</t>
  </si>
  <si>
    <t>Total Coinsurance</t>
  </si>
  <si>
    <t>Total Copayments</t>
  </si>
  <si>
    <t>Employer HSA Contributions</t>
  </si>
  <si>
    <t>Compared to Option 4</t>
  </si>
  <si>
    <t>HSA Qualified</t>
  </si>
  <si>
    <t>FSA Funding Possibility</t>
  </si>
  <si>
    <t>HSA Funding Possibility</t>
  </si>
  <si>
    <t>HSA Contribution Limit - Single:</t>
  </si>
  <si>
    <t>HSA Contribution Limit - Family:</t>
  </si>
  <si>
    <t>No</t>
  </si>
  <si>
    <t>Yes</t>
  </si>
  <si>
    <t>HSA Catch-up Limit:</t>
  </si>
  <si>
    <t>Prem</t>
  </si>
  <si>
    <t>SpChg</t>
  </si>
  <si>
    <t>HSA55+</t>
  </si>
  <si>
    <t>Prev</t>
  </si>
  <si>
    <t>Primary</t>
  </si>
  <si>
    <t>Spec</t>
  </si>
  <si>
    <t>Ded</t>
  </si>
  <si>
    <t>Coins</t>
  </si>
  <si>
    <t>Rx Ded</t>
  </si>
  <si>
    <t>Rx Copays</t>
  </si>
  <si>
    <t>Rx Imbedded in Medical Plan</t>
  </si>
  <si>
    <t>Generic OOP Limit:</t>
  </si>
  <si>
    <t>Brand OOP Limit:</t>
  </si>
  <si>
    <t>Non-Formulary OOP Limit:</t>
  </si>
  <si>
    <t>After copay subject to Ded&amp;Co?</t>
  </si>
  <si>
    <t>N/A</t>
  </si>
  <si>
    <t>Annual Employer HSA Contribution</t>
  </si>
  <si>
    <r>
      <t>First enter client name, option names, and benefits on "Comparison" tab, then populate this tab and Format&gt;Sheet&gt;Hide.</t>
    </r>
    <r>
      <rPr>
        <b/>
        <sz val="10"/>
        <color indexed="12"/>
        <rFont val="Century Gothic"/>
        <family val="2"/>
      </rPr>
      <t xml:space="preserve">
If you don't need all four options, feel free to change borders, shading and fonts to white on those extra benefits &amp; totals on the "Comparison" tab.
Be sure to put cursor in first box under "Step 1" before saving file.</t>
    </r>
  </si>
  <si>
    <t>Compared to Premium Plan</t>
  </si>
  <si>
    <t>Compared to Base Plan</t>
  </si>
  <si>
    <t>Compared to HDHP Plan</t>
  </si>
  <si>
    <t>Step 2 – Physician Office Visits</t>
  </si>
  <si>
    <t>tobacco free / HRA</t>
  </si>
  <si>
    <t>tobacco free / no HRA</t>
  </si>
  <si>
    <t>tobacco user /  HRA</t>
  </si>
  <si>
    <t>Total Out-of-Pocket (without Premiums)</t>
  </si>
  <si>
    <t>Total Out-of-Pocket (with Premiums)</t>
  </si>
  <si>
    <t>Med/Rx Copays Out-of-Pocket (Single)</t>
  </si>
  <si>
    <t>Med/Rx Copays Out-of-Pocket (Family)</t>
  </si>
  <si>
    <t>CopayOOP</t>
  </si>
  <si>
    <t>Retail Rx Copay - Generic</t>
  </si>
  <si>
    <t>Retail Rx Copay - Preferred Brand</t>
  </si>
  <si>
    <t>Retail Rx Copay - Non-Preferred Brand</t>
  </si>
  <si>
    <t>Generic</t>
  </si>
  <si>
    <t>Preferred Brand</t>
  </si>
  <si>
    <t>Non-Preferred Brand</t>
  </si>
  <si>
    <r>
      <t>$500 ER</t>
    </r>
    <r>
      <rPr>
        <sz val="8"/>
        <color theme="0"/>
        <rFont val="Century Gothic"/>
        <family val="2"/>
      </rPr>
      <t xml:space="preserve"> (# visits)</t>
    </r>
  </si>
  <si>
    <r>
      <t>$10K Hospital</t>
    </r>
    <r>
      <rPr>
        <sz val="8"/>
        <color theme="0"/>
        <rFont val="Century Gothic"/>
        <family val="2"/>
      </rPr>
      <t xml:space="preserve"> (# confinements)</t>
    </r>
  </si>
  <si>
    <t>WSU Tech</t>
  </si>
  <si>
    <t>Opt 1 $1,500</t>
  </si>
  <si>
    <t>Compared to Opt 1</t>
  </si>
  <si>
    <t>Compared to Opt 2</t>
  </si>
  <si>
    <t>Compared to Opt 3</t>
  </si>
  <si>
    <t>Compared to Opt 4</t>
  </si>
  <si>
    <t>YOU ARE REQUIRED TO CONTRIBUTE A MINIMUM OF $5 PER PAY PERIOD TO BE ELIGIBLE FOR THE HSA EMPLOYER CONTRIBUTION.  
THIS TOOL ASSUMES YOU ARE CONTRIBUTING AT LEAST THE MINIMUM AND ARE ELIGILBE FOR THE EMPLOYER CONTRIBUTION TO YOUR HSA.
NOTE:  This tool does not take into consideration any prior balances you may have in your Health Savings Account, 
which may impact your enrollment decision and/or your annual contribution to your HSA.</t>
  </si>
  <si>
    <t>Opt 4 $5,000 HSA</t>
  </si>
  <si>
    <t>Estimate the number of physician office visits your family expects to experience in the next 12 months.  Primary care visits are assumed to cost $100 after PPO discounting.  Specialist and Preventive Care visits are assumed to cost $200 after PPO discounting.</t>
  </si>
  <si>
    <t>Finally, record current and anticipated prescriptions below.  You must choose a person from the drop down list.  You may override the cost per script assumptions.</t>
  </si>
  <si>
    <t>2019-2020 (FY20) Medical Plan Election Comparison Tool</t>
  </si>
  <si>
    <t>Opt 2 $2,500</t>
  </si>
  <si>
    <t>Opt 3 $3,500 HSA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</si>
</sst>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2" formatCode="_(&quot;$&quot;* #,##0_);_(&quot;$&quot;* \(#,##0\);_(&quot;$&quot;* &quot;-&quot;_);_(@_)"/>
    <numFmt numFmtId="44" formatCode="_(&quot;$&quot;* #,##0.00_);_(&quot;$&quot;* \(#,##0.00\);_(&quot;$&quot;* &quot;-&quot;??_);_(@_)"/>
    <numFmt numFmtId="164" formatCode="\+&quot;$&quot;\ #,##0;\–&quot;$&quot;\ #,##0"/>
  </numFmts>
  <fonts count="18" x14ac:knownFonts="1">
    <font>
      <sz val="10"/>
      <name val="Arial"/>
    </font>
    <font>
      <sz val="10"/>
      <name val="Arial"/>
      <family val="2"/>
    </font>
    <font>
      <sz val="10"/>
      <name val="Century Gothic"/>
      <family val="2"/>
    </font>
    <font>
      <b/>
      <sz val="10"/>
      <name val="Century Gothic"/>
      <family val="2"/>
    </font>
    <font>
      <b/>
      <i/>
      <sz val="10"/>
      <name val="Century Gothic"/>
      <family val="2"/>
    </font>
    <font>
      <sz val="8"/>
      <name val="Century Gothic"/>
      <family val="2"/>
    </font>
    <font>
      <b/>
      <sz val="8"/>
      <name val="Century Gothic"/>
      <family val="2"/>
    </font>
    <font>
      <sz val="8"/>
      <name val="Arial"/>
      <family val="2"/>
    </font>
    <font>
      <b/>
      <i/>
      <sz val="12"/>
      <name val="Century Gothic"/>
      <family val="2"/>
    </font>
    <font>
      <sz val="10"/>
      <color indexed="9"/>
      <name val="Century Gothic"/>
      <family val="2"/>
    </font>
    <font>
      <b/>
      <sz val="10"/>
      <color indexed="12"/>
      <name val="Century Gothic"/>
      <family val="2"/>
    </font>
    <font>
      <b/>
      <sz val="14"/>
      <color indexed="12"/>
      <name val="Century Gothic"/>
      <family val="2"/>
    </font>
    <font>
      <b/>
      <sz val="10"/>
      <color theme="0"/>
      <name val="Century Gothic"/>
      <family val="2"/>
    </font>
    <font>
      <sz val="8"/>
      <color theme="0"/>
      <name val="Century Gothic"/>
      <family val="2"/>
    </font>
    <font>
      <i/>
      <sz val="9"/>
      <color rgb="FF005684"/>
      <name val="Century Gothic"/>
      <family val="2"/>
    </font>
    <font>
      <b/>
      <i/>
      <sz val="9.5"/>
      <color rgb="FF005684"/>
      <name val="Century Gothic"/>
      <family val="2"/>
    </font>
    <font>
      <b/>
      <i/>
      <sz val="9.5"/>
      <name val="Century Gothic"/>
      <family val="2"/>
    </font>
    <font>
      <b/>
      <sz val="20"/>
      <name val="Century Gothic"/>
      <family val="2"/>
    </font>
  </fonts>
  <fills count="13">
    <fill>
      <patternFill patternType="none"/>
    </fill>
    <fill>
      <patternFill patternType="gray125"/>
    </fill>
    <fill>
      <patternFill patternType="solid">
        <fgColor indexed="44"/>
        <bgColor indexed="64"/>
      </patternFill>
    </fill>
    <fill>
      <patternFill patternType="solid">
        <fgColor indexed="61"/>
        <bgColor indexed="64"/>
      </patternFill>
    </fill>
    <fill>
      <patternFill patternType="solid">
        <fgColor indexed="41"/>
        <bgColor indexed="64"/>
      </patternFill>
    </fill>
    <fill>
      <patternFill patternType="solid">
        <fgColor indexed="26"/>
        <bgColor indexed="64"/>
      </patternFill>
    </fill>
    <fill>
      <patternFill patternType="solid">
        <fgColor indexed="46"/>
        <bgColor indexed="64"/>
      </patternFill>
    </fill>
    <fill>
      <patternFill patternType="mediumGray">
        <fgColor indexed="8"/>
      </patternFill>
    </fill>
    <fill>
      <patternFill patternType="solid">
        <fgColor theme="3" tint="0.59999389629810485"/>
        <bgColor indexed="64"/>
      </patternFill>
    </fill>
    <fill>
      <patternFill patternType="mediumGray">
        <bgColor indexed="46"/>
      </patternFill>
    </fill>
    <fill>
      <patternFill patternType="solid">
        <fgColor theme="1"/>
        <bgColor indexed="64"/>
      </patternFill>
    </fill>
    <fill>
      <patternFill patternType="solid">
        <fgColor rgb="FFFFC700"/>
        <bgColor indexed="64"/>
      </patternFill>
    </fill>
    <fill>
      <patternFill patternType="mediumGray"/>
    </fill>
  </fills>
  <borders count="44">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64"/>
      </top>
      <bottom style="medium">
        <color indexed="64"/>
      </bottom>
      <diagonal/>
    </border>
    <border>
      <left/>
      <right/>
      <top/>
      <bottom style="thin">
        <color indexed="64"/>
      </bottom>
      <diagonal/>
    </border>
    <border>
      <left/>
      <right/>
      <top style="thin">
        <color indexed="22"/>
      </top>
      <bottom/>
      <diagonal/>
    </border>
    <border>
      <left/>
      <right/>
      <top style="medium">
        <color indexed="64"/>
      </top>
      <bottom style="thin">
        <color indexed="22"/>
      </bottom>
      <diagonal/>
    </border>
    <border>
      <left style="thick">
        <color indexed="64"/>
      </left>
      <right/>
      <top style="thick">
        <color indexed="64"/>
      </top>
      <bottom/>
      <diagonal/>
    </border>
    <border>
      <left/>
      <right/>
      <top style="thick">
        <color indexed="64"/>
      </top>
      <bottom/>
      <diagonal/>
    </border>
    <border>
      <left/>
      <right/>
      <top style="thick">
        <color indexed="64"/>
      </top>
      <bottom style="medium">
        <color indexed="64"/>
      </bottom>
      <diagonal/>
    </border>
    <border>
      <left/>
      <right/>
      <top/>
      <bottom style="thick">
        <color indexed="64"/>
      </bottom>
      <diagonal/>
    </border>
    <border>
      <left/>
      <right/>
      <top style="medium">
        <color indexed="64"/>
      </top>
      <bottom style="thin">
        <color indexed="64"/>
      </bottom>
      <diagonal/>
    </border>
    <border>
      <left/>
      <right/>
      <top style="thin">
        <color indexed="64"/>
      </top>
      <bottom style="thin">
        <color indexed="22"/>
      </bottom>
      <diagonal/>
    </border>
    <border>
      <left/>
      <right/>
      <top style="thin">
        <color indexed="22"/>
      </top>
      <bottom style="thin">
        <color indexed="64"/>
      </bottom>
      <diagonal/>
    </border>
    <border>
      <left/>
      <right style="thick">
        <color indexed="64"/>
      </right>
      <top/>
      <bottom/>
      <diagonal/>
    </border>
    <border>
      <left/>
      <right/>
      <top style="thin">
        <color indexed="64"/>
      </top>
      <bottom style="double">
        <color indexed="64"/>
      </bottom>
      <diagonal/>
    </border>
    <border>
      <left/>
      <right/>
      <top style="thin">
        <color indexed="22"/>
      </top>
      <bottom style="thick">
        <color indexed="64"/>
      </bottom>
      <diagonal/>
    </border>
    <border>
      <left/>
      <right/>
      <top style="double">
        <color indexed="64"/>
      </top>
      <bottom style="double">
        <color indexed="64"/>
      </bottom>
      <diagonal/>
    </border>
    <border>
      <left/>
      <right/>
      <top style="thin">
        <color indexed="22"/>
      </top>
      <bottom style="double">
        <color indexed="64"/>
      </bottom>
      <diagonal/>
    </border>
    <border>
      <left/>
      <right/>
      <top style="double">
        <color indexed="64"/>
      </top>
      <bottom style="thin">
        <color indexed="22"/>
      </bottom>
      <diagonal/>
    </border>
    <border>
      <left/>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22"/>
      </bottom>
      <diagonal/>
    </border>
    <border>
      <left style="thick">
        <color indexed="64"/>
      </left>
      <right/>
      <top/>
      <bottom style="thin">
        <color indexed="22"/>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style="thick">
        <color indexed="64"/>
      </left>
      <right/>
      <top style="thin">
        <color indexed="64"/>
      </top>
      <bottom style="double">
        <color indexed="64"/>
      </bottom>
      <diagonal/>
    </border>
    <border>
      <left style="thick">
        <color indexed="64"/>
      </left>
      <right/>
      <top style="double">
        <color indexed="64"/>
      </top>
      <bottom style="double">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22"/>
      </bottom>
      <diagonal/>
    </border>
    <border>
      <left/>
      <right style="thick">
        <color indexed="64"/>
      </right>
      <top style="thin">
        <color indexed="22"/>
      </top>
      <bottom style="thin">
        <color indexed="22"/>
      </bottom>
      <diagonal/>
    </border>
    <border>
      <left/>
      <right style="thick">
        <color indexed="64"/>
      </right>
      <top style="thin">
        <color indexed="22"/>
      </top>
      <bottom style="thin">
        <color indexed="64"/>
      </bottom>
      <diagonal/>
    </border>
    <border>
      <left/>
      <right style="thick">
        <color indexed="64"/>
      </right>
      <top style="double">
        <color indexed="64"/>
      </top>
      <bottom style="double">
        <color indexed="64"/>
      </bottom>
      <diagonal/>
    </border>
    <border>
      <left/>
      <right style="thick">
        <color indexed="64"/>
      </right>
      <top style="thin">
        <color indexed="64"/>
      </top>
      <bottom style="double">
        <color indexed="64"/>
      </bottom>
      <diagonal/>
    </border>
    <border>
      <left/>
      <right style="thick">
        <color indexed="64"/>
      </right>
      <top/>
      <bottom style="thin">
        <color indexed="22"/>
      </bottom>
      <diagonal/>
    </border>
    <border>
      <left/>
      <right style="thick">
        <color indexed="64"/>
      </right>
      <top style="thin">
        <color indexed="22"/>
      </top>
      <bottom/>
      <diagonal/>
    </border>
    <border>
      <left/>
      <right style="thick">
        <color indexed="64"/>
      </right>
      <top style="thin">
        <color indexed="22"/>
      </top>
      <bottom style="thick">
        <color indexed="64"/>
      </bottom>
      <diagonal/>
    </border>
  </borders>
  <cellStyleXfs count="2">
    <xf numFmtId="0" fontId="0" fillId="0" borderId="0"/>
    <xf numFmtId="44" fontId="1" fillId="0" borderId="0" applyFont="0" applyFill="0" applyBorder="0" applyAlignment="0" applyProtection="0"/>
  </cellStyleXfs>
  <cellXfs count="159">
    <xf numFmtId="0" fontId="0" fillId="0" borderId="0" xfId="0"/>
    <xf numFmtId="0" fontId="2" fillId="0" borderId="0" xfId="0" applyFont="1"/>
    <xf numFmtId="0" fontId="4" fillId="0" borderId="0" xfId="0" applyFont="1"/>
    <xf numFmtId="0" fontId="3" fillId="0" borderId="0" xfId="0" applyFont="1" applyAlignment="1">
      <alignment horizontal="center"/>
    </xf>
    <xf numFmtId="42" fontId="2" fillId="0" borderId="0" xfId="0" applyNumberFormat="1" applyFont="1"/>
    <xf numFmtId="0" fontId="6" fillId="0" borderId="2" xfId="0" applyFont="1" applyBorder="1"/>
    <xf numFmtId="0" fontId="6" fillId="0" borderId="3" xfId="0" applyFont="1" applyBorder="1"/>
    <xf numFmtId="44" fontId="2" fillId="0" borderId="0" xfId="0" applyNumberFormat="1" applyFont="1"/>
    <xf numFmtId="0" fontId="3" fillId="2" borderId="4" xfId="0" applyFont="1" applyFill="1" applyBorder="1" applyAlignment="1">
      <alignment horizontal="center" vertical="center" wrapText="1"/>
    </xf>
    <xf numFmtId="0" fontId="8" fillId="0" borderId="5" xfId="0" applyFont="1" applyBorder="1"/>
    <xf numFmtId="0" fontId="2" fillId="0" borderId="5" xfId="0" applyFont="1" applyBorder="1"/>
    <xf numFmtId="0" fontId="9" fillId="0" borderId="0" xfId="0" applyFont="1"/>
    <xf numFmtId="0" fontId="2" fillId="0" borderId="6" xfId="0" applyFont="1" applyFill="1" applyBorder="1"/>
    <xf numFmtId="42" fontId="2" fillId="3" borderId="2" xfId="0" applyNumberFormat="1" applyFont="1" applyFill="1" applyBorder="1"/>
    <xf numFmtId="0" fontId="2" fillId="0" borderId="0" xfId="0" applyFont="1" applyAlignment="1">
      <alignment horizontal="right"/>
    </xf>
    <xf numFmtId="0" fontId="6" fillId="0" borderId="0" xfId="0" applyFont="1" applyAlignment="1">
      <alignment horizontal="right"/>
    </xf>
    <xf numFmtId="0" fontId="3" fillId="0" borderId="5" xfId="0" applyFont="1" applyBorder="1"/>
    <xf numFmtId="42" fontId="2" fillId="4" borderId="1" xfId="0" applyNumberFormat="1" applyFont="1" applyFill="1" applyBorder="1" applyProtection="1">
      <protection locked="0"/>
    </xf>
    <xf numFmtId="0" fontId="2" fillId="0" borderId="0" xfId="0" applyFont="1" applyFill="1"/>
    <xf numFmtId="44" fontId="2" fillId="4" borderId="7" xfId="0" applyNumberFormat="1" applyFont="1" applyFill="1" applyBorder="1" applyProtection="1">
      <protection locked="0"/>
    </xf>
    <xf numFmtId="44" fontId="2" fillId="4" borderId="3" xfId="0" applyNumberFormat="1" applyFont="1" applyFill="1" applyBorder="1" applyProtection="1">
      <protection locked="0"/>
    </xf>
    <xf numFmtId="44" fontId="2" fillId="4" borderId="2" xfId="0" applyNumberFormat="1" applyFont="1" applyFill="1" applyBorder="1" applyProtection="1">
      <protection locked="0"/>
    </xf>
    <xf numFmtId="0" fontId="2" fillId="0" borderId="8" xfId="0" applyFont="1" applyBorder="1"/>
    <xf numFmtId="0" fontId="2" fillId="0" borderId="9" xfId="0" applyFont="1" applyBorder="1"/>
    <xf numFmtId="0" fontId="2" fillId="0" borderId="0" xfId="0" applyFont="1" applyBorder="1"/>
    <xf numFmtId="0" fontId="2" fillId="0" borderId="11" xfId="0" applyFont="1" applyBorder="1"/>
    <xf numFmtId="42" fontId="5" fillId="3" borderId="12" xfId="0" applyNumberFormat="1" applyFont="1" applyFill="1" applyBorder="1" applyAlignment="1">
      <alignment vertical="center"/>
    </xf>
    <xf numFmtId="0" fontId="2" fillId="0" borderId="0" xfId="0" applyFont="1" applyBorder="1" applyAlignment="1">
      <alignment vertical="center"/>
    </xf>
    <xf numFmtId="42" fontId="5" fillId="3" borderId="13" xfId="0" applyNumberFormat="1" applyFont="1" applyFill="1" applyBorder="1" applyAlignment="1">
      <alignment vertical="center"/>
    </xf>
    <xf numFmtId="42" fontId="5" fillId="3" borderId="3" xfId="0" applyNumberFormat="1" applyFont="1" applyFill="1" applyBorder="1" applyAlignment="1">
      <alignment vertical="center"/>
    </xf>
    <xf numFmtId="42" fontId="5" fillId="3" borderId="14" xfId="0" applyNumberFormat="1" applyFont="1" applyFill="1" applyBorder="1" applyAlignment="1">
      <alignment vertical="center"/>
    </xf>
    <xf numFmtId="42" fontId="5" fillId="0" borderId="0" xfId="0" applyNumberFormat="1" applyFont="1" applyBorder="1" applyAlignment="1">
      <alignment vertical="center"/>
    </xf>
    <xf numFmtId="42" fontId="5" fillId="6" borderId="16" xfId="0" applyNumberFormat="1" applyFont="1" applyFill="1" applyBorder="1" applyAlignment="1">
      <alignment vertical="center"/>
    </xf>
    <xf numFmtId="42" fontId="5" fillId="7" borderId="2" xfId="0" applyNumberFormat="1" applyFont="1" applyFill="1" applyBorder="1" applyAlignment="1">
      <alignment vertical="center"/>
    </xf>
    <xf numFmtId="164" fontId="5" fillId="0" borderId="2" xfId="0" applyNumberFormat="1" applyFont="1" applyBorder="1" applyAlignment="1">
      <alignment vertical="center"/>
    </xf>
    <xf numFmtId="164" fontId="5" fillId="0" borderId="3" xfId="0" applyNumberFormat="1" applyFont="1" applyBorder="1" applyAlignment="1">
      <alignment vertical="center"/>
    </xf>
    <xf numFmtId="42" fontId="5" fillId="7" borderId="3" xfId="0" applyNumberFormat="1" applyFont="1" applyFill="1" applyBorder="1" applyAlignment="1">
      <alignment vertical="center"/>
    </xf>
    <xf numFmtId="164" fontId="5" fillId="0" borderId="6" xfId="0" applyNumberFormat="1" applyFont="1" applyBorder="1" applyAlignment="1">
      <alignment vertical="center"/>
    </xf>
    <xf numFmtId="42" fontId="5" fillId="6" borderId="13" xfId="0" applyNumberFormat="1" applyFont="1" applyFill="1" applyBorder="1" applyAlignment="1">
      <alignment vertical="center"/>
    </xf>
    <xf numFmtId="42" fontId="5" fillId="6" borderId="17" xfId="0" applyNumberFormat="1" applyFont="1" applyFill="1" applyBorder="1" applyAlignment="1">
      <alignment vertical="center"/>
    </xf>
    <xf numFmtId="0" fontId="2" fillId="0" borderId="11" xfId="0" applyFont="1" applyBorder="1" applyAlignment="1">
      <alignment vertical="center"/>
    </xf>
    <xf numFmtId="44" fontId="2" fillId="4" borderId="7" xfId="1" applyFont="1" applyFill="1" applyBorder="1" applyProtection="1">
      <protection locked="0"/>
    </xf>
    <xf numFmtId="42" fontId="5" fillId="6" borderId="18" xfId="0" applyNumberFormat="1" applyFont="1" applyFill="1" applyBorder="1" applyAlignment="1">
      <alignment vertical="center"/>
    </xf>
    <xf numFmtId="0" fontId="6" fillId="3" borderId="0" xfId="0" applyFont="1" applyFill="1" applyAlignment="1">
      <alignment vertical="center"/>
    </xf>
    <xf numFmtId="42" fontId="5" fillId="3" borderId="12" xfId="0" applyNumberFormat="1" applyFont="1" applyFill="1" applyBorder="1" applyAlignment="1" applyProtection="1">
      <alignment horizontal="right" vertical="center"/>
    </xf>
    <xf numFmtId="0" fontId="2" fillId="0" borderId="0" xfId="0" applyFont="1" applyAlignment="1">
      <alignment vertical="center"/>
    </xf>
    <xf numFmtId="42" fontId="5" fillId="0" borderId="0" xfId="0" applyNumberFormat="1" applyFont="1" applyAlignment="1" applyProtection="1">
      <alignment vertical="center"/>
    </xf>
    <xf numFmtId="42" fontId="5" fillId="0" borderId="14" xfId="0" applyNumberFormat="1" applyFont="1" applyBorder="1" applyAlignment="1" applyProtection="1">
      <alignment vertical="center"/>
    </xf>
    <xf numFmtId="9" fontId="5" fillId="3" borderId="0" xfId="0" applyNumberFormat="1" applyFont="1" applyFill="1" applyAlignment="1" applyProtection="1">
      <alignment vertical="center"/>
    </xf>
    <xf numFmtId="42" fontId="5" fillId="0" borderId="13" xfId="0" applyNumberFormat="1" applyFont="1" applyBorder="1" applyAlignment="1" applyProtection="1">
      <alignment vertical="center"/>
    </xf>
    <xf numFmtId="42" fontId="5" fillId="6" borderId="13" xfId="0" applyNumberFormat="1" applyFont="1" applyFill="1" applyBorder="1" applyAlignment="1" applyProtection="1">
      <alignment vertical="center"/>
    </xf>
    <xf numFmtId="42" fontId="5" fillId="6" borderId="19" xfId="0" applyNumberFormat="1" applyFont="1" applyFill="1" applyBorder="1" applyAlignment="1" applyProtection="1">
      <alignment vertical="center"/>
    </xf>
    <xf numFmtId="42" fontId="5" fillId="0" borderId="20" xfId="0" applyNumberFormat="1" applyFont="1" applyBorder="1" applyAlignment="1" applyProtection="1">
      <alignment vertical="center"/>
    </xf>
    <xf numFmtId="9" fontId="5" fillId="0" borderId="20" xfId="0" applyNumberFormat="1" applyFont="1" applyBorder="1" applyAlignment="1" applyProtection="1">
      <alignment vertical="center"/>
    </xf>
    <xf numFmtId="42" fontId="5" fillId="0" borderId="3" xfId="0" applyNumberFormat="1" applyFont="1" applyBorder="1" applyAlignment="1" applyProtection="1">
      <alignment vertical="center"/>
    </xf>
    <xf numFmtId="9" fontId="5" fillId="0" borderId="3" xfId="0" applyNumberFormat="1" applyFont="1" applyBorder="1" applyAlignment="1" applyProtection="1">
      <alignment vertical="center"/>
    </xf>
    <xf numFmtId="9" fontId="5" fillId="0" borderId="14" xfId="0" applyNumberFormat="1" applyFont="1" applyBorder="1" applyAlignment="1" applyProtection="1">
      <alignment vertical="center"/>
    </xf>
    <xf numFmtId="42" fontId="5" fillId="3" borderId="0" xfId="0" applyNumberFormat="1" applyFont="1" applyFill="1" applyAlignment="1" applyProtection="1">
      <alignment vertical="center"/>
    </xf>
    <xf numFmtId="42" fontId="5" fillId="3" borderId="0" xfId="0" applyNumberFormat="1" applyFont="1" applyFill="1" applyAlignment="1" applyProtection="1">
      <alignment horizontal="right" vertical="center"/>
    </xf>
    <xf numFmtId="42" fontId="5" fillId="3" borderId="21" xfId="0" applyNumberFormat="1" applyFont="1" applyFill="1" applyBorder="1" applyAlignment="1" applyProtection="1">
      <alignment horizontal="right" vertical="center"/>
    </xf>
    <xf numFmtId="0" fontId="3" fillId="8" borderId="0" xfId="0" applyFont="1" applyFill="1" applyAlignment="1">
      <alignment horizontal="center" vertical="center" wrapText="1"/>
    </xf>
    <xf numFmtId="6" fontId="5" fillId="3" borderId="13" xfId="0" applyNumberFormat="1" applyFont="1" applyFill="1" applyBorder="1" applyAlignment="1" applyProtection="1">
      <alignment vertical="center"/>
    </xf>
    <xf numFmtId="6" fontId="5" fillId="3" borderId="3" xfId="0" applyNumberFormat="1" applyFont="1" applyFill="1" applyBorder="1" applyAlignment="1" applyProtection="1">
      <alignment vertical="center"/>
    </xf>
    <xf numFmtId="6" fontId="5" fillId="3" borderId="19" xfId="0" applyNumberFormat="1" applyFont="1" applyFill="1" applyBorder="1" applyAlignment="1" applyProtection="1">
      <alignment vertical="center"/>
    </xf>
    <xf numFmtId="0" fontId="2" fillId="0" borderId="0" xfId="0" applyFont="1" applyFill="1" applyBorder="1"/>
    <xf numFmtId="0" fontId="12" fillId="0" borderId="0" xfId="0" applyFont="1" applyFill="1" applyBorder="1" applyAlignment="1">
      <alignment horizontal="center" vertical="center" wrapText="1"/>
    </xf>
    <xf numFmtId="42" fontId="5" fillId="0" borderId="0" xfId="0" applyNumberFormat="1" applyFont="1" applyFill="1" applyBorder="1" applyAlignment="1">
      <alignment vertical="center"/>
    </xf>
    <xf numFmtId="0" fontId="2" fillId="0" borderId="0" xfId="0" applyFont="1" applyFill="1" applyBorder="1" applyAlignment="1">
      <alignment vertical="center"/>
    </xf>
    <xf numFmtId="164" fontId="5" fillId="0" borderId="0" xfId="0" applyNumberFormat="1" applyFont="1" applyFill="1" applyBorder="1" applyAlignment="1">
      <alignment vertical="center"/>
    </xf>
    <xf numFmtId="0" fontId="2" fillId="0" borderId="32" xfId="0" applyFont="1" applyBorder="1"/>
    <xf numFmtId="0" fontId="2" fillId="0" borderId="15" xfId="0" applyFont="1" applyBorder="1" applyAlignment="1">
      <alignment vertical="center"/>
    </xf>
    <xf numFmtId="0" fontId="2" fillId="0" borderId="33" xfId="0" applyFont="1" applyBorder="1" applyAlignment="1">
      <alignment vertical="center"/>
    </xf>
    <xf numFmtId="42" fontId="5" fillId="9" borderId="13" xfId="0" applyNumberFormat="1" applyFont="1" applyFill="1" applyBorder="1" applyAlignment="1">
      <alignment vertical="center"/>
    </xf>
    <xf numFmtId="0" fontId="6" fillId="6" borderId="23" xfId="0" applyFont="1" applyFill="1" applyBorder="1" applyAlignment="1">
      <alignment vertical="center"/>
    </xf>
    <xf numFmtId="0" fontId="6" fillId="6" borderId="13" xfId="0" applyFont="1" applyFill="1" applyBorder="1" applyAlignment="1">
      <alignment vertical="center"/>
    </xf>
    <xf numFmtId="0" fontId="6" fillId="6" borderId="27" xfId="0" applyFont="1" applyFill="1" applyBorder="1" applyAlignment="1">
      <alignment vertical="center"/>
    </xf>
    <xf numFmtId="0" fontId="6" fillId="6" borderId="11" xfId="0" applyFont="1" applyFill="1" applyBorder="1" applyAlignment="1">
      <alignment vertical="center"/>
    </xf>
    <xf numFmtId="0" fontId="6" fillId="3" borderId="23" xfId="0" applyFont="1" applyFill="1" applyBorder="1" applyAlignment="1">
      <alignment vertical="center"/>
    </xf>
    <xf numFmtId="0" fontId="6" fillId="3" borderId="13" xfId="0" applyFont="1" applyFill="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6" borderId="29" xfId="0" applyFont="1" applyFill="1" applyBorder="1" applyAlignment="1">
      <alignment vertical="center"/>
    </xf>
    <xf numFmtId="0" fontId="6" fillId="6" borderId="18" xfId="0" applyFont="1" applyFill="1" applyBorder="1" applyAlignment="1">
      <alignment vertical="center"/>
    </xf>
    <xf numFmtId="0" fontId="6" fillId="0" borderId="25" xfId="0" applyFont="1" applyBorder="1" applyAlignment="1">
      <alignment vertical="center"/>
    </xf>
    <xf numFmtId="0" fontId="6" fillId="0" borderId="0" xfId="0" applyFont="1" applyBorder="1" applyAlignment="1">
      <alignment vertical="center"/>
    </xf>
    <xf numFmtId="0" fontId="6" fillId="3" borderId="26" xfId="0" applyFont="1" applyFill="1" applyBorder="1" applyAlignment="1">
      <alignment vertical="center"/>
    </xf>
    <xf numFmtId="0" fontId="6" fillId="3" borderId="5" xfId="0" applyFont="1" applyFill="1" applyBorder="1" applyAlignment="1">
      <alignment vertical="center"/>
    </xf>
    <xf numFmtId="0" fontId="6" fillId="6" borderId="28" xfId="0" applyFont="1" applyFill="1" applyBorder="1" applyAlignment="1">
      <alignment vertical="center"/>
    </xf>
    <xf numFmtId="0" fontId="6" fillId="6" borderId="16" xfId="0" applyFont="1" applyFill="1" applyBorder="1" applyAlignment="1">
      <alignment vertical="center"/>
    </xf>
    <xf numFmtId="0" fontId="6" fillId="3" borderId="22" xfId="0" applyFont="1" applyFill="1" applyBorder="1" applyAlignment="1">
      <alignment vertical="center"/>
    </xf>
    <xf numFmtId="0" fontId="6" fillId="3" borderId="12" xfId="0" applyFont="1" applyFill="1" applyBorder="1" applyAlignment="1">
      <alignment vertical="center"/>
    </xf>
    <xf numFmtId="0" fontId="6" fillId="3" borderId="24" xfId="0" applyFont="1" applyFill="1" applyBorder="1" applyAlignment="1">
      <alignment vertical="center"/>
    </xf>
    <xf numFmtId="0" fontId="6" fillId="3" borderId="2" xfId="0" applyFont="1" applyFill="1" applyBorder="1" applyAlignment="1">
      <alignment vertical="center"/>
    </xf>
    <xf numFmtId="3" fontId="2" fillId="11" borderId="1" xfId="0" applyNumberFormat="1" applyFont="1" applyFill="1" applyBorder="1" applyProtection="1">
      <protection locked="0"/>
    </xf>
    <xf numFmtId="0" fontId="2" fillId="11" borderId="1" xfId="0" applyFont="1" applyFill="1" applyBorder="1" applyProtection="1">
      <protection locked="0"/>
    </xf>
    <xf numFmtId="42" fontId="2" fillId="11" borderId="1" xfId="0" applyNumberFormat="1" applyFont="1" applyFill="1" applyBorder="1" applyProtection="1">
      <protection locked="0"/>
    </xf>
    <xf numFmtId="0" fontId="2" fillId="11" borderId="2" xfId="0" applyFont="1" applyFill="1" applyBorder="1" applyProtection="1">
      <protection locked="0"/>
    </xf>
    <xf numFmtId="42" fontId="2" fillId="11" borderId="2" xfId="0" applyNumberFormat="1" applyFont="1" applyFill="1" applyBorder="1" applyProtection="1">
      <protection locked="0"/>
    </xf>
    <xf numFmtId="0" fontId="12" fillId="10" borderId="0" xfId="0" applyFont="1" applyFill="1"/>
    <xf numFmtId="0" fontId="12" fillId="10" borderId="0" xfId="0" applyFont="1" applyFill="1" applyAlignment="1">
      <alignment horizontal="center"/>
    </xf>
    <xf numFmtId="0" fontId="12" fillId="10" borderId="1" xfId="0" applyFont="1" applyFill="1" applyBorder="1" applyAlignment="1" applyProtection="1">
      <alignment horizontal="center"/>
      <protection locked="0"/>
    </xf>
    <xf numFmtId="0" fontId="12" fillId="10" borderId="4" xfId="0" applyFont="1" applyFill="1" applyBorder="1" applyAlignment="1" applyProtection="1">
      <alignment horizontal="center" vertical="center" wrapText="1"/>
    </xf>
    <xf numFmtId="0" fontId="12" fillId="10" borderId="10" xfId="0" applyFont="1" applyFill="1" applyBorder="1" applyAlignment="1">
      <alignment horizontal="center" vertical="center" wrapText="1"/>
    </xf>
    <xf numFmtId="0" fontId="12" fillId="10" borderId="34" xfId="0" applyFont="1" applyFill="1" applyBorder="1" applyAlignment="1">
      <alignment horizontal="center" vertical="center" wrapText="1"/>
    </xf>
    <xf numFmtId="42" fontId="5" fillId="3" borderId="35" xfId="0" applyNumberFormat="1" applyFont="1" applyFill="1" applyBorder="1" applyAlignment="1">
      <alignment vertical="center"/>
    </xf>
    <xf numFmtId="42" fontId="5" fillId="3" borderId="36" xfId="0" applyNumberFormat="1" applyFont="1" applyFill="1" applyBorder="1" applyAlignment="1">
      <alignment vertical="center"/>
    </xf>
    <xf numFmtId="42" fontId="5" fillId="3" borderId="37" xfId="0" applyNumberFormat="1" applyFont="1" applyFill="1" applyBorder="1" applyAlignment="1">
      <alignment vertical="center"/>
    </xf>
    <xf numFmtId="42" fontId="5" fillId="3" borderId="38" xfId="0" applyNumberFormat="1" applyFont="1" applyFill="1" applyBorder="1" applyAlignment="1">
      <alignment vertical="center"/>
    </xf>
    <xf numFmtId="42" fontId="5" fillId="0" borderId="15" xfId="0" applyNumberFormat="1" applyFont="1" applyBorder="1" applyAlignment="1">
      <alignment vertical="center"/>
    </xf>
    <xf numFmtId="42" fontId="5" fillId="6" borderId="39" xfId="0" applyNumberFormat="1" applyFont="1" applyFill="1" applyBorder="1" applyAlignment="1">
      <alignment vertical="center"/>
    </xf>
    <xf numFmtId="42" fontId="5" fillId="6" borderId="40" xfId="0" applyNumberFormat="1" applyFont="1" applyFill="1" applyBorder="1" applyAlignment="1">
      <alignment vertical="center"/>
    </xf>
    <xf numFmtId="164" fontId="5" fillId="0" borderId="41" xfId="0" applyNumberFormat="1" applyFont="1" applyBorder="1" applyAlignment="1">
      <alignment vertical="center"/>
    </xf>
    <xf numFmtId="164" fontId="5" fillId="0" borderId="37" xfId="0" applyNumberFormat="1" applyFont="1" applyBorder="1" applyAlignment="1">
      <alignment vertical="center"/>
    </xf>
    <xf numFmtId="42" fontId="5" fillId="9" borderId="36" xfId="0" applyNumberFormat="1" applyFont="1" applyFill="1" applyBorder="1" applyAlignment="1">
      <alignment vertical="center"/>
    </xf>
    <xf numFmtId="42" fontId="5" fillId="6" borderId="43" xfId="0" applyNumberFormat="1" applyFont="1" applyFill="1" applyBorder="1" applyAlignment="1">
      <alignment vertical="center"/>
    </xf>
    <xf numFmtId="164" fontId="5" fillId="12" borderId="3" xfId="0" applyNumberFormat="1" applyFont="1" applyFill="1" applyBorder="1" applyAlignment="1">
      <alignment vertical="center"/>
    </xf>
    <xf numFmtId="164" fontId="5" fillId="12" borderId="42" xfId="0" applyNumberFormat="1" applyFont="1" applyFill="1" applyBorder="1" applyAlignment="1">
      <alignment vertical="center"/>
    </xf>
    <xf numFmtId="42" fontId="5" fillId="9" borderId="17" xfId="0" applyNumberFormat="1" applyFont="1" applyFill="1" applyBorder="1" applyAlignment="1">
      <alignment vertical="center"/>
    </xf>
    <xf numFmtId="42" fontId="5" fillId="12" borderId="0" xfId="0" applyNumberFormat="1" applyFont="1" applyFill="1" applyBorder="1" applyAlignment="1">
      <alignment vertical="center"/>
    </xf>
    <xf numFmtId="0" fontId="15" fillId="0" borderId="0" xfId="0" applyFont="1" applyAlignment="1">
      <alignment horizontal="left" vertical="top" wrapText="1"/>
    </xf>
    <xf numFmtId="0" fontId="17" fillId="0" borderId="0" xfId="0" applyFont="1" applyProtection="1">
      <protection locked="0"/>
    </xf>
    <xf numFmtId="0" fontId="2" fillId="0" borderId="0" xfId="0" applyFont="1" applyAlignment="1">
      <alignment horizontal="justify"/>
    </xf>
    <xf numFmtId="0" fontId="6" fillId="3" borderId="12" xfId="0" applyFont="1" applyFill="1" applyBorder="1" applyAlignment="1">
      <alignment vertical="center"/>
    </xf>
    <xf numFmtId="0" fontId="6" fillId="3" borderId="21" xfId="0" applyFont="1" applyFill="1" applyBorder="1" applyAlignment="1">
      <alignment vertical="center"/>
    </xf>
    <xf numFmtId="0" fontId="6" fillId="0" borderId="25" xfId="0" applyFont="1" applyBorder="1" applyAlignment="1">
      <alignment vertical="center"/>
    </xf>
    <xf numFmtId="0" fontId="6" fillId="0" borderId="0" xfId="0" applyFont="1" applyBorder="1" applyAlignment="1">
      <alignment vertical="center"/>
    </xf>
    <xf numFmtId="0" fontId="6" fillId="3" borderId="13" xfId="0" applyFont="1" applyFill="1" applyBorder="1" applyAlignment="1">
      <alignment vertical="center"/>
    </xf>
    <xf numFmtId="0" fontId="6" fillId="3" borderId="24" xfId="0" applyFont="1" applyFill="1" applyBorder="1" applyAlignment="1">
      <alignment vertical="center"/>
    </xf>
    <xf numFmtId="0" fontId="6" fillId="3" borderId="2" xfId="0" applyFont="1" applyFill="1" applyBorder="1" applyAlignment="1">
      <alignment vertical="center"/>
    </xf>
    <xf numFmtId="0" fontId="6" fillId="3" borderId="26" xfId="0" applyFont="1" applyFill="1" applyBorder="1" applyAlignment="1">
      <alignment vertical="center"/>
    </xf>
    <xf numFmtId="0" fontId="6" fillId="3" borderId="5" xfId="0" applyFont="1" applyFill="1" applyBorder="1" applyAlignment="1">
      <alignment vertical="center"/>
    </xf>
    <xf numFmtId="0" fontId="6" fillId="3" borderId="22" xfId="0" applyFont="1" applyFill="1" applyBorder="1" applyAlignment="1">
      <alignment vertical="center"/>
    </xf>
    <xf numFmtId="0" fontId="6" fillId="3" borderId="3" xfId="0" applyFont="1" applyFill="1" applyBorder="1" applyAlignment="1">
      <alignment vertical="center"/>
    </xf>
    <xf numFmtId="0" fontId="3" fillId="11" borderId="30" xfId="0" applyFont="1" applyFill="1" applyBorder="1" applyProtection="1">
      <protection locked="0"/>
    </xf>
    <xf numFmtId="0" fontId="3" fillId="11" borderId="3" xfId="0" applyFont="1" applyFill="1" applyBorder="1" applyProtection="1">
      <protection locked="0"/>
    </xf>
    <xf numFmtId="0" fontId="3" fillId="11" borderId="31" xfId="0" applyFont="1" applyFill="1" applyBorder="1" applyProtection="1">
      <protection locked="0"/>
    </xf>
    <xf numFmtId="0" fontId="6" fillId="0" borderId="14" xfId="0" applyFont="1" applyBorder="1" applyAlignment="1">
      <alignment vertical="center"/>
    </xf>
    <xf numFmtId="0" fontId="6" fillId="3" borderId="0" xfId="0" applyFont="1" applyFill="1" applyAlignment="1">
      <alignment vertical="center"/>
    </xf>
    <xf numFmtId="0" fontId="6" fillId="0" borderId="13" xfId="0" applyFont="1" applyBorder="1" applyAlignment="1">
      <alignment vertical="center"/>
    </xf>
    <xf numFmtId="0" fontId="14" fillId="0" borderId="0" xfId="0" applyFont="1" applyAlignment="1">
      <alignment horizontal="justify" wrapText="1"/>
    </xf>
    <xf numFmtId="0" fontId="6" fillId="0" borderId="3" xfId="0" applyFont="1" applyBorder="1" applyAlignment="1">
      <alignment vertical="center"/>
    </xf>
    <xf numFmtId="0" fontId="6" fillId="0" borderId="2" xfId="0" applyFont="1" applyBorder="1" applyAlignment="1">
      <alignment vertical="center"/>
    </xf>
    <xf numFmtId="0" fontId="6" fillId="6" borderId="13" xfId="0" applyFont="1" applyFill="1" applyBorder="1" applyAlignment="1">
      <alignment vertical="center"/>
    </xf>
    <xf numFmtId="0" fontId="6" fillId="6" borderId="19" xfId="0" applyFont="1" applyFill="1" applyBorder="1" applyAlignment="1">
      <alignment vertical="center"/>
    </xf>
    <xf numFmtId="0" fontId="6" fillId="0" borderId="20" xfId="0" applyFont="1" applyBorder="1" applyAlignment="1">
      <alignment vertical="center"/>
    </xf>
    <xf numFmtId="0" fontId="6" fillId="3" borderId="19" xfId="0" applyFont="1" applyFill="1" applyBorder="1" applyAlignment="1">
      <alignment vertical="center"/>
    </xf>
    <xf numFmtId="0" fontId="6" fillId="0" borderId="0" xfId="0" applyFont="1" applyFill="1" applyBorder="1" applyAlignment="1">
      <alignment vertical="center"/>
    </xf>
    <xf numFmtId="0" fontId="16" fillId="11" borderId="0" xfId="0" applyFont="1" applyFill="1" applyAlignment="1">
      <alignment horizontal="left" vertical="top" wrapText="1"/>
    </xf>
    <xf numFmtId="0" fontId="6" fillId="3" borderId="23" xfId="0" applyFont="1" applyFill="1" applyBorder="1" applyAlignment="1">
      <alignment vertical="center"/>
    </xf>
    <xf numFmtId="0" fontId="6" fillId="6" borderId="29" xfId="0" applyFont="1" applyFill="1" applyBorder="1" applyAlignment="1">
      <alignment vertical="center"/>
    </xf>
    <xf numFmtId="0" fontId="6" fillId="6" borderId="18" xfId="0" applyFont="1" applyFill="1" applyBorder="1" applyAlignment="1">
      <alignment vertical="center"/>
    </xf>
    <xf numFmtId="0" fontId="6" fillId="6" borderId="23" xfId="0" applyFont="1" applyFill="1" applyBorder="1" applyAlignment="1">
      <alignment vertical="center"/>
    </xf>
    <xf numFmtId="0" fontId="6" fillId="0" borderId="24" xfId="0" applyFont="1" applyBorder="1" applyAlignment="1">
      <alignment vertical="center"/>
    </xf>
    <xf numFmtId="0" fontId="6" fillId="6" borderId="27" xfId="0" applyFont="1" applyFill="1" applyBorder="1" applyAlignment="1">
      <alignment vertical="center"/>
    </xf>
    <xf numFmtId="0" fontId="6" fillId="6" borderId="11" xfId="0" applyFont="1" applyFill="1" applyBorder="1" applyAlignment="1">
      <alignment vertical="center"/>
    </xf>
    <xf numFmtId="0" fontId="6" fillId="6" borderId="28" xfId="0" applyFont="1" applyFill="1" applyBorder="1" applyAlignment="1">
      <alignment vertical="center"/>
    </xf>
    <xf numFmtId="0" fontId="6" fillId="6" borderId="16" xfId="0" applyFont="1" applyFill="1" applyBorder="1" applyAlignment="1">
      <alignment vertical="center"/>
    </xf>
    <xf numFmtId="0" fontId="11" fillId="5" borderId="0" xfId="0" applyFont="1" applyFill="1" applyAlignment="1">
      <alignment vertical="center" wrapText="1"/>
    </xf>
    <xf numFmtId="0" fontId="10" fillId="5" borderId="0" xfId="0" applyFont="1" applyFill="1" applyAlignment="1">
      <alignment vertical="center" wrapText="1"/>
    </xf>
  </cellXfs>
  <cellStyles count="2">
    <cellStyle name="Currency" xfId="1" builtinId="4"/>
    <cellStyle name="Normal" xfId="0" builtinId="0"/>
  </cellStyles>
  <dxfs count="7">
    <dxf>
      <fill>
        <patternFill>
          <bgColor rgb="FFFFFF00"/>
        </patternFill>
      </fill>
    </dxf>
    <dxf>
      <fill>
        <patternFill>
          <bgColor rgb="FFFFFF00"/>
        </patternFill>
      </fill>
    </dxf>
    <dxf>
      <fill>
        <patternFill>
          <bgColor indexed="42"/>
        </patternFill>
      </fill>
    </dxf>
    <dxf>
      <fill>
        <patternFill>
          <bgColor rgb="FFCCFFCC"/>
        </patternFill>
      </fill>
    </dxf>
    <dxf>
      <fill>
        <patternFill patternType="mediumGray"/>
      </fill>
    </dxf>
    <dxf>
      <fill>
        <patternFill patternType="mediumGray"/>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8F8F8"/>
      <rgbColor rgb="00333399"/>
      <rgbColor rgb="00333333"/>
    </indexedColors>
    <mruColors>
      <color rgb="FFFFC700"/>
      <color rgb="FFFFFF00"/>
      <color rgb="FFF5C53D"/>
      <color rgb="FF005684"/>
      <color rgb="FFA1FF53"/>
      <color rgb="FF83FF1D"/>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1066799</xdr:colOff>
      <xdr:row>92</xdr:row>
      <xdr:rowOff>28576</xdr:rowOff>
    </xdr:from>
    <xdr:to>
      <xdr:col>11</xdr:col>
      <xdr:colOff>1152524</xdr:colOff>
      <xdr:row>95</xdr:row>
      <xdr:rowOff>123826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153149" y="15097126"/>
          <a:ext cx="280987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bg1"/>
              </a:solidFill>
            </a:rPr>
            <a:t>These premiums apply to those who are </a:t>
          </a:r>
          <a:r>
            <a:rPr lang="en-US" sz="1100" b="1" u="sng">
              <a:solidFill>
                <a:schemeClr val="bg1"/>
              </a:solidFill>
            </a:rPr>
            <a:t>not</a:t>
          </a:r>
          <a:r>
            <a:rPr lang="en-US" sz="1100" b="1">
              <a:solidFill>
                <a:schemeClr val="bg1"/>
              </a:solidFill>
            </a:rPr>
            <a:t> participating</a:t>
          </a:r>
          <a:r>
            <a:rPr lang="en-US" sz="1100" b="1" baseline="0">
              <a:solidFill>
                <a:schemeClr val="bg1"/>
              </a:solidFill>
            </a:rPr>
            <a:t> in the Working Well Program</a:t>
          </a:r>
          <a:endParaRPr lang="en-US" sz="1100" b="1">
            <a:solidFill>
              <a:schemeClr val="bg1"/>
            </a:solidFill>
          </a:endParaRPr>
        </a:p>
      </xdr:txBody>
    </xdr:sp>
    <xdr:clientData/>
  </xdr:twoCellAnchor>
  <xdr:twoCellAnchor editAs="oneCell">
    <xdr:from>
      <xdr:col>11</xdr:col>
      <xdr:colOff>590549</xdr:colOff>
      <xdr:row>0</xdr:row>
      <xdr:rowOff>0</xdr:rowOff>
    </xdr:from>
    <xdr:to>
      <xdr:col>13</xdr:col>
      <xdr:colOff>730387</xdr:colOff>
      <xdr:row>4</xdr:row>
      <xdr:rowOff>19180</xdr:rowOff>
    </xdr:to>
    <xdr:pic>
      <xdr:nvPicPr>
        <xdr:cNvPr id="7" name="Picture 6">
          <a:extLst>
            <a:ext uri="{FF2B5EF4-FFF2-40B4-BE49-F238E27FC236}">
              <a16:creationId xmlns:a16="http://schemas.microsoft.com/office/drawing/2014/main" id="{08AB1586-36CF-4930-9FE2-2E64F2413D0B}"/>
            </a:ext>
          </a:extLst>
        </xdr:cNvPr>
        <xdr:cNvPicPr>
          <a:picLocks noChangeAspect="1"/>
        </xdr:cNvPicPr>
      </xdr:nvPicPr>
      <xdr:blipFill>
        <a:blip xmlns:r="http://schemas.openxmlformats.org/officeDocument/2006/relationships" r:embed="rId1"/>
        <a:stretch>
          <a:fillRect/>
        </a:stretch>
      </xdr:blipFill>
      <xdr:spPr>
        <a:xfrm>
          <a:off x="8401049" y="0"/>
          <a:ext cx="1501913" cy="990730"/>
        </a:xfrm>
        <a:prstGeom prst="rect">
          <a:avLst/>
        </a:prstGeom>
      </xdr:spPr>
    </xdr:pic>
    <xdr:clientData/>
  </xdr:twoCellAnchor>
  <xdr:twoCellAnchor>
    <xdr:from>
      <xdr:col>11</xdr:col>
      <xdr:colOff>409575</xdr:colOff>
      <xdr:row>4</xdr:row>
      <xdr:rowOff>19050</xdr:rowOff>
    </xdr:from>
    <xdr:to>
      <xdr:col>13</xdr:col>
      <xdr:colOff>895350</xdr:colOff>
      <xdr:row>25</xdr:row>
      <xdr:rowOff>19050</xdr:rowOff>
    </xdr:to>
    <xdr:sp macro="" textlink="">
      <xdr:nvSpPr>
        <xdr:cNvPr id="16" name="TextBox 15">
          <a:extLst>
            <a:ext uri="{FF2B5EF4-FFF2-40B4-BE49-F238E27FC236}">
              <a16:creationId xmlns:a16="http://schemas.microsoft.com/office/drawing/2014/main" id="{4AC9E957-C29B-45E4-9B4D-804A21AC8E8E}"/>
            </a:ext>
          </a:extLst>
        </xdr:cNvPr>
        <xdr:cNvSpPr txBox="1"/>
      </xdr:nvSpPr>
      <xdr:spPr>
        <a:xfrm>
          <a:off x="8220075" y="847725"/>
          <a:ext cx="1847850" cy="2895600"/>
        </a:xfrm>
        <a:prstGeom prst="roundRect">
          <a:avLst/>
        </a:prstGeom>
        <a:solidFill>
          <a:srgbClr val="FFC7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ysClr val="windowText" lastClr="000000"/>
              </a:solidFill>
              <a:latin typeface="Century Gothic" panose="020B0502020202020204" pitchFamily="34" charset="0"/>
            </a:rPr>
            <a:t>This worksheet is for </a:t>
          </a:r>
          <a:r>
            <a:rPr lang="en-US" sz="1100" b="1">
              <a:solidFill>
                <a:sysClr val="windowText" lastClr="000000"/>
              </a:solidFill>
              <a:latin typeface="Century Gothic" panose="020B0502020202020204" pitchFamily="34" charset="0"/>
            </a:rPr>
            <a:t>estimation</a:t>
          </a:r>
          <a:r>
            <a:rPr lang="en-US" sz="1100">
              <a:solidFill>
                <a:sysClr val="windowText" lastClr="000000"/>
              </a:solidFill>
              <a:latin typeface="Century Gothic" panose="020B0502020202020204" pitchFamily="34" charset="0"/>
            </a:rPr>
            <a:t> purposes only and makes many assumptions.  Please use this tool prudently and </a:t>
          </a:r>
          <a:r>
            <a:rPr lang="en-US" sz="1100" b="1">
              <a:solidFill>
                <a:sysClr val="windowText" lastClr="000000"/>
              </a:solidFill>
              <a:latin typeface="Century Gothic" panose="020B0502020202020204" pitchFamily="34" charset="0"/>
            </a:rPr>
            <a:t>do not assume </a:t>
          </a:r>
          <a:r>
            <a:rPr lang="en-US" sz="1100">
              <a:solidFill>
                <a:sysClr val="windowText" lastClr="000000"/>
              </a:solidFill>
              <a:latin typeface="Century Gothic" panose="020B0502020202020204" pitchFamily="34" charset="0"/>
            </a:rPr>
            <a:t>it accurately represents your comprehensive medical expenses for any</a:t>
          </a:r>
          <a:r>
            <a:rPr lang="en-US" sz="1100" baseline="0">
              <a:solidFill>
                <a:sysClr val="windowText" lastClr="000000"/>
              </a:solidFill>
              <a:latin typeface="Century Gothic" panose="020B0502020202020204" pitchFamily="34" charset="0"/>
            </a:rPr>
            <a:t> future plan year</a:t>
          </a:r>
          <a:r>
            <a:rPr lang="en-US" sz="1100" baseline="0">
              <a:solidFill>
                <a:schemeClr val="bg1"/>
              </a:solidFill>
              <a:latin typeface="Century Gothic" panose="020B0502020202020204" pitchFamily="34" charset="0"/>
            </a:rPr>
            <a:t>.</a:t>
          </a:r>
          <a:endParaRPr lang="en-US" sz="1100">
            <a:solidFill>
              <a:schemeClr val="bg1"/>
            </a:solidFill>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B134"/>
  <sheetViews>
    <sheetView showGridLines="0" tabSelected="1" zoomScaleNormal="100" workbookViewId="0">
      <selection activeCell="H29" sqref="H29:J29"/>
    </sheetView>
  </sheetViews>
  <sheetFormatPr defaultColWidth="9.140625" defaultRowHeight="13.5" x14ac:dyDescent="0.25"/>
  <cols>
    <col min="1" max="1" width="4.7109375" style="1" customWidth="1"/>
    <col min="2" max="2" width="29" style="1" customWidth="1"/>
    <col min="3" max="3" width="1.7109375" style="1" customWidth="1"/>
    <col min="4" max="4" width="18.7109375" style="1" customWidth="1"/>
    <col min="5" max="5" width="1.7109375" style="1" customWidth="1"/>
    <col min="6" max="6" width="18.7109375" style="1" customWidth="1"/>
    <col min="7" max="7" width="1.7109375" style="1" customWidth="1"/>
    <col min="8" max="8" width="18.7109375" style="1" customWidth="1"/>
    <col min="9" max="9" width="1.7109375" style="1" customWidth="1"/>
    <col min="10" max="10" width="18.7109375" style="1" customWidth="1"/>
    <col min="11" max="11" width="1.7109375" style="1" customWidth="1"/>
    <col min="12" max="12" width="18.7109375" style="1" customWidth="1"/>
    <col min="13" max="13" width="1.7109375" style="1" customWidth="1"/>
    <col min="14" max="14" width="18.7109375" style="1" customWidth="1"/>
    <col min="15" max="15" width="9.140625" style="1" customWidth="1"/>
    <col min="16" max="25" width="9.140625" style="1" hidden="1" customWidth="1"/>
    <col min="26" max="26" width="13.42578125" style="1" hidden="1" customWidth="1"/>
    <col min="27" max="31" width="9.140625" style="1" hidden="1" customWidth="1"/>
    <col min="32" max="32" width="10.140625" style="1" hidden="1" customWidth="1"/>
    <col min="33" max="34" width="9.140625" style="1" hidden="1" customWidth="1"/>
    <col min="35" max="35" width="11.42578125" style="1" hidden="1" customWidth="1"/>
    <col min="36" max="40" width="9.140625" style="1" hidden="1" customWidth="1"/>
    <col min="41" max="41" width="11.28515625" style="1" hidden="1" customWidth="1"/>
    <col min="42" max="158" width="9.140625" style="1" hidden="1" customWidth="1"/>
    <col min="159" max="16384" width="9.140625" style="1"/>
  </cols>
  <sheetData>
    <row r="1" spans="1:14" ht="33.75" customHeight="1" x14ac:dyDescent="0.35">
      <c r="A1" s="120" t="s">
        <v>98</v>
      </c>
      <c r="F1" s="139"/>
      <c r="G1" s="139"/>
      <c r="H1" s="139"/>
      <c r="I1" s="139"/>
      <c r="J1" s="139"/>
      <c r="K1" s="139"/>
      <c r="L1" s="139"/>
      <c r="M1" s="139"/>
      <c r="N1" s="139"/>
    </row>
    <row r="2" spans="1:14" ht="15" customHeight="1" x14ac:dyDescent="0.25">
      <c r="B2" s="2" t="s">
        <v>108</v>
      </c>
      <c r="F2" s="139"/>
      <c r="G2" s="139"/>
      <c r="H2" s="139"/>
      <c r="I2" s="139"/>
      <c r="J2" s="139"/>
      <c r="K2" s="139"/>
      <c r="L2" s="139"/>
      <c r="M2" s="139"/>
      <c r="N2" s="139"/>
    </row>
    <row r="4" spans="1:14" ht="14.25" thickBot="1" x14ac:dyDescent="0.3">
      <c r="D4" s="101" t="s">
        <v>99</v>
      </c>
      <c r="F4" s="101" t="s">
        <v>109</v>
      </c>
      <c r="H4" s="101" t="s">
        <v>110</v>
      </c>
      <c r="J4" s="101" t="s">
        <v>105</v>
      </c>
    </row>
    <row r="5" spans="1:14" ht="12" customHeight="1" x14ac:dyDescent="0.25">
      <c r="A5" s="122" t="s">
        <v>52</v>
      </c>
      <c r="B5" s="122"/>
      <c r="D5" s="44" t="s">
        <v>57</v>
      </c>
      <c r="E5" s="45"/>
      <c r="F5" s="44" t="s">
        <v>57</v>
      </c>
      <c r="G5" s="45"/>
      <c r="H5" s="44" t="s">
        <v>58</v>
      </c>
      <c r="J5" s="44" t="s">
        <v>58</v>
      </c>
    </row>
    <row r="6" spans="1:14" ht="12" customHeight="1" x14ac:dyDescent="0.25">
      <c r="A6" s="141" t="s">
        <v>1</v>
      </c>
      <c r="B6" s="141"/>
      <c r="D6" s="46">
        <v>1500</v>
      </c>
      <c r="E6" s="45"/>
      <c r="F6" s="46">
        <v>2500</v>
      </c>
      <c r="G6" s="45"/>
      <c r="H6" s="46">
        <v>3500</v>
      </c>
      <c r="J6" s="46">
        <v>5000</v>
      </c>
    </row>
    <row r="7" spans="1:14" ht="12" customHeight="1" x14ac:dyDescent="0.25">
      <c r="A7" s="136" t="s">
        <v>2</v>
      </c>
      <c r="B7" s="136"/>
      <c r="D7" s="47">
        <v>3000</v>
      </c>
      <c r="E7" s="45"/>
      <c r="F7" s="47">
        <v>5000</v>
      </c>
      <c r="G7" s="45"/>
      <c r="H7" s="47">
        <v>7000</v>
      </c>
      <c r="J7" s="47">
        <v>10000</v>
      </c>
    </row>
    <row r="8" spans="1:14" ht="12" customHeight="1" x14ac:dyDescent="0.25">
      <c r="A8" s="123" t="s">
        <v>0</v>
      </c>
      <c r="B8" s="123"/>
      <c r="D8" s="48">
        <v>0.2</v>
      </c>
      <c r="E8" s="45"/>
      <c r="F8" s="48">
        <v>0.2</v>
      </c>
      <c r="G8" s="45"/>
      <c r="H8" s="48">
        <v>0</v>
      </c>
      <c r="J8" s="48">
        <v>0</v>
      </c>
    </row>
    <row r="9" spans="1:14" ht="12" customHeight="1" x14ac:dyDescent="0.25">
      <c r="A9" s="138" t="s">
        <v>3</v>
      </c>
      <c r="B9" s="138"/>
      <c r="D9" s="49">
        <v>2500</v>
      </c>
      <c r="E9" s="45"/>
      <c r="F9" s="49">
        <v>2500</v>
      </c>
      <c r="G9" s="45"/>
      <c r="H9" s="49">
        <v>0</v>
      </c>
      <c r="J9" s="49">
        <v>0</v>
      </c>
    </row>
    <row r="10" spans="1:14" ht="12" customHeight="1" x14ac:dyDescent="0.25">
      <c r="A10" s="136" t="s">
        <v>4</v>
      </c>
      <c r="B10" s="136"/>
      <c r="D10" s="46">
        <v>5000</v>
      </c>
      <c r="E10" s="45"/>
      <c r="F10" s="46">
        <v>5000</v>
      </c>
      <c r="G10" s="45"/>
      <c r="H10" s="46">
        <v>0</v>
      </c>
      <c r="J10" s="46">
        <v>0</v>
      </c>
    </row>
    <row r="11" spans="1:14" ht="12" customHeight="1" x14ac:dyDescent="0.25">
      <c r="A11" s="142" t="s">
        <v>5</v>
      </c>
      <c r="B11" s="142"/>
      <c r="D11" s="50">
        <f>IF(D6+D9&gt;0,D6+D9,"")</f>
        <v>4000</v>
      </c>
      <c r="E11" s="45"/>
      <c r="F11" s="50">
        <f>IF(F6+F9&gt;0,F6+F9,"")</f>
        <v>5000</v>
      </c>
      <c r="G11" s="45"/>
      <c r="H11" s="50">
        <f>IF(H6+H9&gt;0,H6+H9,"")</f>
        <v>3500</v>
      </c>
      <c r="J11" s="50">
        <f>IF(J6+J9&gt;0,J6+J9,"")</f>
        <v>5000</v>
      </c>
    </row>
    <row r="12" spans="1:14" ht="12" customHeight="1" thickBot="1" x14ac:dyDescent="0.3">
      <c r="A12" s="143" t="s">
        <v>6</v>
      </c>
      <c r="B12" s="143"/>
      <c r="D12" s="51">
        <f>IF(D7+D10&gt;0,D7+D10,"")</f>
        <v>8000</v>
      </c>
      <c r="E12" s="45"/>
      <c r="F12" s="51">
        <f>IF(F7+F10&gt;0,F7+F10,"")</f>
        <v>10000</v>
      </c>
      <c r="G12" s="45"/>
      <c r="H12" s="51">
        <f>IF(H7+H10&gt;0,H7+H10,"")</f>
        <v>7000</v>
      </c>
      <c r="J12" s="51">
        <f>IF(J7+J10&gt;0,J7+J10,"")</f>
        <v>10000</v>
      </c>
    </row>
    <row r="13" spans="1:14" ht="12" customHeight="1" thickTop="1" x14ac:dyDescent="0.25">
      <c r="A13" s="144" t="s">
        <v>28</v>
      </c>
      <c r="B13" s="144"/>
      <c r="D13" s="52">
        <v>0</v>
      </c>
      <c r="E13" s="45"/>
      <c r="F13" s="52">
        <v>0</v>
      </c>
      <c r="G13" s="45"/>
      <c r="H13" s="53">
        <v>0</v>
      </c>
      <c r="J13" s="53">
        <v>0</v>
      </c>
    </row>
    <row r="14" spans="1:14" ht="12" customHeight="1" x14ac:dyDescent="0.25">
      <c r="A14" s="140" t="s">
        <v>29</v>
      </c>
      <c r="B14" s="140"/>
      <c r="D14" s="54">
        <v>35</v>
      </c>
      <c r="E14" s="45"/>
      <c r="F14" s="54">
        <v>35</v>
      </c>
      <c r="G14" s="45"/>
      <c r="H14" s="55">
        <v>1</v>
      </c>
      <c r="J14" s="55">
        <v>1</v>
      </c>
    </row>
    <row r="15" spans="1:14" ht="12" customHeight="1" x14ac:dyDescent="0.25">
      <c r="A15" s="136" t="s">
        <v>7</v>
      </c>
      <c r="B15" s="136"/>
      <c r="D15" s="47">
        <v>35</v>
      </c>
      <c r="E15" s="45"/>
      <c r="F15" s="47">
        <v>35</v>
      </c>
      <c r="G15" s="45"/>
      <c r="H15" s="56">
        <v>1</v>
      </c>
      <c r="J15" s="56">
        <v>1</v>
      </c>
    </row>
    <row r="16" spans="1:14" ht="12" customHeight="1" x14ac:dyDescent="0.25">
      <c r="A16" s="137" t="s">
        <v>8</v>
      </c>
      <c r="B16" s="137"/>
      <c r="D16" s="57">
        <v>100</v>
      </c>
      <c r="E16" s="45"/>
      <c r="F16" s="57">
        <v>100</v>
      </c>
      <c r="G16" s="45"/>
      <c r="H16" s="48">
        <v>1</v>
      </c>
      <c r="J16" s="48">
        <v>1</v>
      </c>
    </row>
    <row r="17" spans="1:158" ht="12" customHeight="1" x14ac:dyDescent="0.25">
      <c r="A17" s="43"/>
      <c r="B17" s="43" t="s">
        <v>74</v>
      </c>
      <c r="D17" s="58" t="s">
        <v>58</v>
      </c>
      <c r="E17" s="45"/>
      <c r="F17" s="58" t="s">
        <v>58</v>
      </c>
      <c r="G17" s="45"/>
      <c r="H17" s="58" t="s">
        <v>75</v>
      </c>
      <c r="J17" s="58" t="s">
        <v>75</v>
      </c>
    </row>
    <row r="18" spans="1:158" ht="12" customHeight="1" x14ac:dyDescent="0.25">
      <c r="A18" s="123" t="s">
        <v>70</v>
      </c>
      <c r="B18" s="123"/>
      <c r="D18" s="59" t="s">
        <v>57</v>
      </c>
      <c r="E18" s="45"/>
      <c r="F18" s="59" t="s">
        <v>57</v>
      </c>
      <c r="G18" s="45"/>
      <c r="H18" s="59" t="s">
        <v>58</v>
      </c>
      <c r="J18" s="59" t="s">
        <v>58</v>
      </c>
    </row>
    <row r="19" spans="1:158" ht="12" hidden="1" customHeight="1" x14ac:dyDescent="0.25">
      <c r="A19" s="138" t="s">
        <v>9</v>
      </c>
      <c r="B19" s="138"/>
      <c r="D19" s="49">
        <v>0</v>
      </c>
      <c r="E19" s="45"/>
      <c r="F19" s="49">
        <v>0</v>
      </c>
      <c r="G19" s="45"/>
      <c r="H19" s="49">
        <v>0</v>
      </c>
      <c r="J19" s="49">
        <v>0</v>
      </c>
    </row>
    <row r="20" spans="1:158" ht="12" hidden="1" customHeight="1" x14ac:dyDescent="0.25">
      <c r="A20" s="136" t="s">
        <v>10</v>
      </c>
      <c r="B20" s="136"/>
      <c r="D20" s="47">
        <v>0</v>
      </c>
      <c r="E20" s="45"/>
      <c r="F20" s="47">
        <v>0</v>
      </c>
      <c r="G20" s="45"/>
      <c r="H20" s="47">
        <v>0</v>
      </c>
      <c r="J20" s="47">
        <v>0</v>
      </c>
    </row>
    <row r="21" spans="1:158" ht="12" customHeight="1" x14ac:dyDescent="0.25">
      <c r="A21" s="126" t="s">
        <v>90</v>
      </c>
      <c r="B21" s="126"/>
      <c r="D21" s="61">
        <v>15</v>
      </c>
      <c r="E21" s="45"/>
      <c r="F21" s="61">
        <v>15</v>
      </c>
      <c r="G21" s="45"/>
      <c r="H21" s="61">
        <v>15</v>
      </c>
      <c r="J21" s="61">
        <v>15</v>
      </c>
    </row>
    <row r="22" spans="1:158" ht="12" customHeight="1" x14ac:dyDescent="0.25">
      <c r="A22" s="132" t="s">
        <v>91</v>
      </c>
      <c r="B22" s="132"/>
      <c r="D22" s="62">
        <v>50</v>
      </c>
      <c r="E22" s="45"/>
      <c r="F22" s="62">
        <v>50</v>
      </c>
      <c r="G22" s="45"/>
      <c r="H22" s="62">
        <v>50</v>
      </c>
      <c r="J22" s="62">
        <v>50</v>
      </c>
    </row>
    <row r="23" spans="1:158" ht="12" customHeight="1" thickBot="1" x14ac:dyDescent="0.3">
      <c r="A23" s="145" t="s">
        <v>92</v>
      </c>
      <c r="B23" s="145"/>
      <c r="D23" s="63">
        <v>75</v>
      </c>
      <c r="E23" s="45"/>
      <c r="F23" s="63">
        <v>75</v>
      </c>
      <c r="G23" s="45"/>
      <c r="H23" s="63">
        <v>75</v>
      </c>
      <c r="J23" s="63">
        <v>75</v>
      </c>
    </row>
    <row r="24" spans="1:158" ht="12" customHeight="1" thickTop="1" x14ac:dyDescent="0.25">
      <c r="A24" s="142" t="s">
        <v>87</v>
      </c>
      <c r="B24" s="142"/>
      <c r="D24" s="50">
        <v>1000</v>
      </c>
      <c r="E24" s="45"/>
      <c r="F24" s="50">
        <v>0</v>
      </c>
      <c r="G24" s="45"/>
      <c r="H24" s="50">
        <v>2850</v>
      </c>
      <c r="J24" s="50">
        <v>1350</v>
      </c>
    </row>
    <row r="25" spans="1:158" ht="12" customHeight="1" thickBot="1" x14ac:dyDescent="0.3">
      <c r="A25" s="143" t="s">
        <v>88</v>
      </c>
      <c r="B25" s="143"/>
      <c r="D25" s="51">
        <v>2000</v>
      </c>
      <c r="E25" s="45"/>
      <c r="F25" s="51">
        <v>0</v>
      </c>
      <c r="G25" s="45"/>
      <c r="H25" s="51">
        <v>5700</v>
      </c>
      <c r="J25" s="51">
        <v>2700</v>
      </c>
    </row>
    <row r="26" spans="1:158" ht="14.25" thickTop="1" x14ac:dyDescent="0.25">
      <c r="AZ26" s="1" t="s">
        <v>82</v>
      </c>
      <c r="BI26" s="1" t="s">
        <v>82</v>
      </c>
      <c r="BR26" s="1" t="s">
        <v>82</v>
      </c>
      <c r="CA26" s="1" t="s">
        <v>82</v>
      </c>
      <c r="CJ26" s="1" t="s">
        <v>83</v>
      </c>
      <c r="CS26" s="1" t="s">
        <v>83</v>
      </c>
      <c r="DB26" s="1" t="s">
        <v>83</v>
      </c>
      <c r="DK26" s="1" t="s">
        <v>83</v>
      </c>
      <c r="DT26" s="1" t="s">
        <v>84</v>
      </c>
      <c r="EC26" s="1" t="s">
        <v>84</v>
      </c>
      <c r="EL26" s="1" t="s">
        <v>84</v>
      </c>
      <c r="EU26" s="1" t="s">
        <v>84</v>
      </c>
    </row>
    <row r="27" spans="1:158" ht="17.25" x14ac:dyDescent="0.3">
      <c r="A27" s="9" t="s">
        <v>11</v>
      </c>
      <c r="B27" s="10"/>
      <c r="C27" s="10"/>
      <c r="D27" s="10"/>
      <c r="E27" s="10"/>
      <c r="F27" s="10"/>
      <c r="G27" s="10"/>
      <c r="H27" s="10"/>
      <c r="I27" s="10"/>
      <c r="J27" s="10"/>
      <c r="K27" s="10"/>
      <c r="L27" s="10"/>
      <c r="M27" s="10"/>
      <c r="N27" s="10"/>
      <c r="P27" s="16" t="str">
        <f>D4</f>
        <v>Opt 1 $1,500</v>
      </c>
      <c r="Q27" s="16"/>
      <c r="R27" s="16"/>
      <c r="S27" s="16"/>
      <c r="T27" s="16"/>
      <c r="U27" s="16"/>
      <c r="V27" s="16"/>
      <c r="W27" s="16"/>
      <c r="Y27" s="16" t="str">
        <f>F4</f>
        <v>Opt 2 $2,500</v>
      </c>
      <c r="Z27" s="16"/>
      <c r="AA27" s="16"/>
      <c r="AB27" s="16"/>
      <c r="AC27" s="16"/>
      <c r="AD27" s="16"/>
      <c r="AE27" s="16"/>
      <c r="AF27" s="16"/>
      <c r="AH27" s="16" t="str">
        <f>H4</f>
        <v>Opt 3 $3,500 HSA</v>
      </c>
      <c r="AI27" s="16"/>
      <c r="AJ27" s="16"/>
      <c r="AK27" s="16"/>
      <c r="AL27" s="16"/>
      <c r="AM27" s="16"/>
      <c r="AN27" s="16"/>
      <c r="AO27" s="16"/>
      <c r="AQ27" s="16" t="str">
        <f>J4</f>
        <v>Opt 4 $5,000 HSA</v>
      </c>
      <c r="AR27" s="16"/>
      <c r="AS27" s="16"/>
      <c r="AT27" s="16"/>
      <c r="AU27" s="16"/>
      <c r="AV27" s="16"/>
      <c r="AW27" s="16"/>
      <c r="AX27" s="16"/>
      <c r="AZ27" s="16" t="str">
        <f>P27</f>
        <v>Opt 1 $1,500</v>
      </c>
      <c r="BA27" s="16"/>
      <c r="BB27" s="16"/>
      <c r="BC27" s="16"/>
      <c r="BD27" s="16"/>
      <c r="BE27" s="16"/>
      <c r="BF27" s="16"/>
      <c r="BG27" s="16"/>
      <c r="BI27" s="16" t="str">
        <f>Y27</f>
        <v>Opt 2 $2,500</v>
      </c>
      <c r="BJ27" s="16"/>
      <c r="BK27" s="16"/>
      <c r="BL27" s="16"/>
      <c r="BM27" s="16"/>
      <c r="BN27" s="16"/>
      <c r="BO27" s="16"/>
      <c r="BP27" s="16"/>
      <c r="BR27" s="16" t="str">
        <f>AH27</f>
        <v>Opt 3 $3,500 HSA</v>
      </c>
      <c r="BS27" s="16"/>
      <c r="BT27" s="16"/>
      <c r="BU27" s="16"/>
      <c r="BV27" s="16"/>
      <c r="BW27" s="16"/>
      <c r="BX27" s="16"/>
      <c r="BY27" s="16"/>
      <c r="CA27" s="16">
        <f>AT4</f>
        <v>0</v>
      </c>
      <c r="CB27" s="16"/>
      <c r="CC27" s="16"/>
      <c r="CD27" s="16"/>
      <c r="CE27" s="16"/>
      <c r="CF27" s="16"/>
      <c r="CG27" s="16"/>
      <c r="CH27" s="16"/>
      <c r="CJ27" s="16" t="str">
        <f>AZ27</f>
        <v>Opt 1 $1,500</v>
      </c>
      <c r="CK27" s="16"/>
      <c r="CL27" s="16"/>
      <c r="CM27" s="16"/>
      <c r="CN27" s="16"/>
      <c r="CO27" s="16"/>
      <c r="CP27" s="16"/>
      <c r="CQ27" s="16"/>
      <c r="CS27" s="16" t="str">
        <f>BI27</f>
        <v>Opt 2 $2,500</v>
      </c>
      <c r="CT27" s="16"/>
      <c r="CU27" s="16"/>
      <c r="CV27" s="16"/>
      <c r="CW27" s="16"/>
      <c r="CX27" s="16"/>
      <c r="CY27" s="16"/>
      <c r="CZ27" s="16"/>
      <c r="DB27" s="16" t="str">
        <f>BR27</f>
        <v>Opt 3 $3,500 HSA</v>
      </c>
      <c r="DC27" s="16"/>
      <c r="DD27" s="16"/>
      <c r="DE27" s="16"/>
      <c r="DF27" s="16"/>
      <c r="DG27" s="16"/>
      <c r="DH27" s="16"/>
      <c r="DI27" s="16"/>
      <c r="DK27" s="16">
        <f>CD4</f>
        <v>0</v>
      </c>
      <c r="DL27" s="16"/>
      <c r="DM27" s="16"/>
      <c r="DN27" s="16"/>
      <c r="DO27" s="16"/>
      <c r="DP27" s="16"/>
      <c r="DQ27" s="16"/>
      <c r="DR27" s="16"/>
      <c r="DT27" s="16" t="str">
        <f>CJ27</f>
        <v>Opt 1 $1,500</v>
      </c>
      <c r="DU27" s="16"/>
      <c r="DV27" s="16"/>
      <c r="DW27" s="16"/>
      <c r="DX27" s="16"/>
      <c r="DY27" s="16"/>
      <c r="DZ27" s="16"/>
      <c r="EA27" s="16"/>
      <c r="EC27" s="16" t="str">
        <f>CS27</f>
        <v>Opt 2 $2,500</v>
      </c>
      <c r="ED27" s="16"/>
      <c r="EE27" s="16"/>
      <c r="EF27" s="16"/>
      <c r="EG27" s="16"/>
      <c r="EH27" s="16"/>
      <c r="EI27" s="16"/>
      <c r="EJ27" s="16"/>
      <c r="EL27" s="16" t="str">
        <f>DB27</f>
        <v>Opt 3 $3,500 HSA</v>
      </c>
      <c r="EM27" s="16"/>
      <c r="EN27" s="16"/>
      <c r="EO27" s="16"/>
      <c r="EP27" s="16"/>
      <c r="EQ27" s="16"/>
      <c r="ER27" s="16"/>
      <c r="ES27" s="16"/>
      <c r="EU27" s="16">
        <f>DN4</f>
        <v>0</v>
      </c>
      <c r="EV27" s="16"/>
      <c r="EW27" s="16"/>
      <c r="EX27" s="16"/>
      <c r="EY27" s="16"/>
      <c r="EZ27" s="16"/>
      <c r="FA27" s="16"/>
      <c r="FB27" s="16"/>
    </row>
    <row r="28" spans="1:158" ht="3.95" customHeight="1" x14ac:dyDescent="0.25"/>
    <row r="29" spans="1:158" x14ac:dyDescent="0.25">
      <c r="B29" s="1" t="s">
        <v>12</v>
      </c>
      <c r="H29" s="133"/>
      <c r="I29" s="134"/>
      <c r="J29" s="135"/>
      <c r="L29" s="11" t="str">
        <f>IF(H29&lt;&gt;"",VLOOKUP(H29,TierLookup,2,0),"")</f>
        <v/>
      </c>
      <c r="P29" s="1" t="s">
        <v>60</v>
      </c>
      <c r="Q29" s="7" t="e">
        <f>VLOOKUP($H$29,RateLookup,3,0)</f>
        <v>#N/A</v>
      </c>
      <c r="Y29" s="1" t="s">
        <v>60</v>
      </c>
      <c r="Z29" s="7" t="e">
        <f>VLOOKUP($H$29,RateLookup,5,0)</f>
        <v>#N/A</v>
      </c>
      <c r="AH29" s="1" t="s">
        <v>60</v>
      </c>
      <c r="AI29" s="7" t="e">
        <f>VLOOKUP($H$29,RateLookup,7,0)</f>
        <v>#N/A</v>
      </c>
      <c r="AQ29" s="1" t="s">
        <v>60</v>
      </c>
      <c r="AR29" s="7" t="e">
        <f>VLOOKUP($H$29,RateLookup,9,0)</f>
        <v>#N/A</v>
      </c>
      <c r="AZ29" s="1" t="s">
        <v>60</v>
      </c>
      <c r="BA29" s="7" t="e">
        <f>VLOOKUP($H$29,RateLookup2,3,0)</f>
        <v>#N/A</v>
      </c>
      <c r="BI29" s="1" t="s">
        <v>60</v>
      </c>
      <c r="BJ29" s="7" t="e">
        <f>VLOOKUP($H$29,RateLookup2,5,0)</f>
        <v>#N/A</v>
      </c>
      <c r="BR29" s="1" t="s">
        <v>60</v>
      </c>
      <c r="BS29" s="7" t="e">
        <f>VLOOKUP($H$29,RateLookup2,7,0)</f>
        <v>#N/A</v>
      </c>
      <c r="CA29" s="1" t="s">
        <v>60</v>
      </c>
      <c r="CB29" s="7" t="e">
        <f>VLOOKUP($H$29,RateLookup,9,0)</f>
        <v>#N/A</v>
      </c>
      <c r="CJ29" s="1" t="s">
        <v>60</v>
      </c>
      <c r="CK29" s="7" t="e">
        <f>VLOOKUP($H$29,RateLookup3,3,0)</f>
        <v>#N/A</v>
      </c>
      <c r="CS29" s="1" t="s">
        <v>60</v>
      </c>
      <c r="CT29" s="7" t="e">
        <f>VLOOKUP($H$29,RateLookup3,5,0)</f>
        <v>#N/A</v>
      </c>
      <c r="DB29" s="1" t="s">
        <v>60</v>
      </c>
      <c r="DC29" s="7" t="e">
        <f>VLOOKUP($H$29,RateLookup3,7,0)</f>
        <v>#N/A</v>
      </c>
      <c r="DK29" s="1" t="s">
        <v>60</v>
      </c>
      <c r="DL29" s="7" t="e">
        <f>VLOOKUP($H$29,RateLookup3,9,0)</f>
        <v>#N/A</v>
      </c>
      <c r="DT29" s="1" t="s">
        <v>60</v>
      </c>
      <c r="DU29" s="7" t="e">
        <f>VLOOKUP($H$29,RateLookup4,3,0)</f>
        <v>#N/A</v>
      </c>
      <c r="EC29" s="1" t="s">
        <v>60</v>
      </c>
      <c r="ED29" s="7" t="e">
        <f>VLOOKUP($H$29,RateLookup4,5,0)</f>
        <v>#N/A</v>
      </c>
      <c r="EL29" s="1" t="s">
        <v>60</v>
      </c>
      <c r="EM29" s="7" t="e">
        <f>VLOOKUP($H$29,RateLookup4,7,0)</f>
        <v>#N/A</v>
      </c>
      <c r="EU29" s="1" t="s">
        <v>60</v>
      </c>
      <c r="EV29" s="7" t="e">
        <f>VLOOKUP($H$29,RateLookup4,9,0)</f>
        <v>#N/A</v>
      </c>
    </row>
    <row r="30" spans="1:158" hidden="1" x14ac:dyDescent="0.25">
      <c r="B30" s="1" t="s">
        <v>17</v>
      </c>
      <c r="H30" s="133"/>
      <c r="I30" s="134"/>
      <c r="J30" s="135"/>
      <c r="P30" s="1" t="s">
        <v>61</v>
      </c>
      <c r="Q30" s="7">
        <f>IF(OR($H$30="",$H$30="Spouse Surcharge Waived"),0,SPcharge)</f>
        <v>0</v>
      </c>
      <c r="Y30" s="1" t="s">
        <v>61</v>
      </c>
      <c r="Z30" s="7">
        <f>IF(OR($H$30="",$H$30="Spouse Surcharge Waived"),0,SPcharge)</f>
        <v>0</v>
      </c>
      <c r="AH30" s="1" t="s">
        <v>61</v>
      </c>
      <c r="AI30" s="7">
        <f>IF(OR($H$30="",$H$30="Spouse Surcharge Waived"),0,SPcharge)</f>
        <v>0</v>
      </c>
      <c r="AQ30" s="1" t="s">
        <v>61</v>
      </c>
      <c r="AR30" s="7">
        <f>IF(OR($H$30="",$H$30="Spouse Surcharge Waived"),0,SPcharge)</f>
        <v>0</v>
      </c>
      <c r="AZ30" s="1" t="s">
        <v>61</v>
      </c>
      <c r="BA30" s="7">
        <f>IF(OR($H$30="",$H$30="Spouse Surcharge Waived"),0,SPcharge)</f>
        <v>0</v>
      </c>
      <c r="BI30" s="1" t="s">
        <v>61</v>
      </c>
      <c r="BJ30" s="7">
        <f>IF(OR($H$30="",$H$30="Spouse Surcharge Waived"),0,SPcharge)</f>
        <v>0</v>
      </c>
      <c r="BR30" s="1" t="s">
        <v>61</v>
      </c>
      <c r="BS30" s="7">
        <f>IF(OR($H$30="",$H$30="Spouse Surcharge Waived"),0,SPcharge)</f>
        <v>0</v>
      </c>
      <c r="CA30" s="1" t="s">
        <v>61</v>
      </c>
      <c r="CB30" s="7">
        <f>IF(OR($H$30="",$H$30="Spouse Surcharge Waived"),0,SPcharge)</f>
        <v>0</v>
      </c>
      <c r="CJ30" s="1" t="s">
        <v>61</v>
      </c>
      <c r="CK30" s="7">
        <f>IF(OR($H$30="",$H$30="Spouse Surcharge Waived"),0,SPcharge)</f>
        <v>0</v>
      </c>
      <c r="CS30" s="1" t="s">
        <v>61</v>
      </c>
      <c r="CT30" s="7">
        <f>IF(OR($H$30="",$H$30="Spouse Surcharge Waived"),0,SPcharge)</f>
        <v>0</v>
      </c>
      <c r="DB30" s="1" t="s">
        <v>61</v>
      </c>
      <c r="DC30" s="7">
        <f>IF(OR($H$30="",$H$30="Spouse Surcharge Waived"),0,SPcharge)</f>
        <v>0</v>
      </c>
      <c r="DK30" s="1" t="s">
        <v>61</v>
      </c>
      <c r="DL30" s="7">
        <f>IF(OR($H$30="",$H$30="Spouse Surcharge Waived"),0,SPcharge)</f>
        <v>0</v>
      </c>
      <c r="DT30" s="1" t="s">
        <v>61</v>
      </c>
      <c r="DU30" s="7">
        <f>IF(OR($H$30="",$H$30="Spouse Surcharge Waived"),0,SPcharge)</f>
        <v>0</v>
      </c>
      <c r="EC30" s="1" t="s">
        <v>61</v>
      </c>
      <c r="ED30" s="7">
        <f>IF(OR($H$30="",$H$30="Spouse Surcharge Waived"),0,SPcharge)</f>
        <v>0</v>
      </c>
      <c r="EL30" s="1" t="s">
        <v>61</v>
      </c>
      <c r="EM30" s="7">
        <f>IF(OR($H$30="",$H$30="Spouse Surcharge Waived"),0,SPcharge)</f>
        <v>0</v>
      </c>
      <c r="EU30" s="1" t="s">
        <v>61</v>
      </c>
      <c r="EV30" s="7">
        <f>IF(OR($H$30="",$H$30="Spouse Surcharge Waived"),0,SPcharge)</f>
        <v>0</v>
      </c>
    </row>
    <row r="31" spans="1:158" x14ac:dyDescent="0.25">
      <c r="B31" s="1" t="s">
        <v>18</v>
      </c>
      <c r="H31" s="133"/>
      <c r="I31" s="134"/>
      <c r="J31" s="135"/>
      <c r="P31" s="1" t="s">
        <v>62</v>
      </c>
      <c r="Q31" s="7">
        <f>IF(OR($H$31="",$H$31="&lt;55"),0,HSAcatchup)</f>
        <v>0</v>
      </c>
      <c r="Y31" s="1" t="s">
        <v>62</v>
      </c>
      <c r="Z31" s="7">
        <f>IF(OR($H$31="",$H$31="&lt;55"),0,HSAcatchup)</f>
        <v>0</v>
      </c>
      <c r="AH31" s="1" t="s">
        <v>62</v>
      </c>
      <c r="AI31" s="7">
        <f>IF(OR($H$31="",$H$31="&lt;55"),0,HSAcatchup)</f>
        <v>0</v>
      </c>
      <c r="AQ31" s="1" t="s">
        <v>62</v>
      </c>
      <c r="AR31" s="7">
        <f>IF(OR($H$31="",$H$31="&lt;55"),0,HSAcatchup)</f>
        <v>0</v>
      </c>
      <c r="AZ31" s="1" t="s">
        <v>62</v>
      </c>
      <c r="BA31" s="7">
        <f>IF(OR($H$31="",$H$31="&lt;55"),0,HSAcatchup)</f>
        <v>0</v>
      </c>
      <c r="BI31" s="1" t="s">
        <v>62</v>
      </c>
      <c r="BJ31" s="7">
        <f>IF(OR($H$31="",$H$31="&lt;55"),0,HSAcatchup)</f>
        <v>0</v>
      </c>
      <c r="BR31" s="1" t="s">
        <v>62</v>
      </c>
      <c r="BS31" s="7">
        <f>IF(OR($H$31="",$H$31="&lt;55"),0,HSAcatchup)</f>
        <v>0</v>
      </c>
      <c r="CA31" s="1" t="s">
        <v>62</v>
      </c>
      <c r="CB31" s="7">
        <f>IF(OR($H$31="",$H$31="&lt;55"),0,HSAcatchup)</f>
        <v>0</v>
      </c>
      <c r="CJ31" s="1" t="s">
        <v>62</v>
      </c>
      <c r="CK31" s="7">
        <f>IF(OR($H$31="",$H$31="&lt;55"),0,HSAcatchup)</f>
        <v>0</v>
      </c>
      <c r="CS31" s="1" t="s">
        <v>62</v>
      </c>
      <c r="CT31" s="7">
        <f>IF(OR($H$31="",$H$31="&lt;55"),0,HSAcatchup)</f>
        <v>0</v>
      </c>
      <c r="DB31" s="1" t="s">
        <v>62</v>
      </c>
      <c r="DC31" s="7">
        <f>IF(OR($H$31="",$H$31="&lt;55"),0,HSAcatchup)</f>
        <v>0</v>
      </c>
      <c r="DK31" s="1" t="s">
        <v>62</v>
      </c>
      <c r="DL31" s="7">
        <f>IF(OR($H$31="",$H$31="&lt;55"),0,HSAcatchup)</f>
        <v>0</v>
      </c>
      <c r="DT31" s="1" t="s">
        <v>62</v>
      </c>
      <c r="DU31" s="7">
        <f>IF(OR($H$31="",$H$31="&lt;55"),0,HSAcatchup)</f>
        <v>0</v>
      </c>
      <c r="EC31" s="1" t="s">
        <v>62</v>
      </c>
      <c r="ED31" s="7">
        <f>IF(OR($H$31="",$H$31="&lt;55"),0,HSAcatchup)</f>
        <v>0</v>
      </c>
      <c r="EL31" s="1" t="s">
        <v>62</v>
      </c>
      <c r="EM31" s="7">
        <f>IF(OR($H$31="",$H$31="&lt;55"),0,HSAcatchup)</f>
        <v>0</v>
      </c>
      <c r="EU31" s="1" t="s">
        <v>62</v>
      </c>
      <c r="EV31" s="7">
        <f>IF(OR($H$31="",$H$31="&lt;55"),0,HSAcatchup)</f>
        <v>0</v>
      </c>
    </row>
    <row r="33" spans="1:50" ht="17.25" x14ac:dyDescent="0.3">
      <c r="A33" s="9" t="s">
        <v>81</v>
      </c>
      <c r="B33" s="10"/>
      <c r="C33" s="10"/>
      <c r="D33" s="10"/>
      <c r="E33" s="10"/>
      <c r="F33" s="10"/>
      <c r="G33" s="10"/>
      <c r="H33" s="10"/>
      <c r="I33" s="10"/>
      <c r="J33" s="10"/>
      <c r="K33" s="10"/>
      <c r="L33" s="10"/>
      <c r="M33" s="10"/>
      <c r="N33" s="10"/>
    </row>
    <row r="34" spans="1:50" ht="3.95" customHeight="1" x14ac:dyDescent="0.25"/>
    <row r="35" spans="1:50" ht="27.95" customHeight="1" x14ac:dyDescent="0.25">
      <c r="B35" s="121" t="s">
        <v>106</v>
      </c>
      <c r="C35" s="121"/>
      <c r="D35" s="121"/>
      <c r="E35" s="121"/>
      <c r="F35" s="121"/>
      <c r="G35" s="121"/>
      <c r="H35" s="121"/>
      <c r="I35" s="121"/>
      <c r="J35" s="121"/>
      <c r="K35" s="121"/>
      <c r="L35" s="121"/>
      <c r="M35" s="121"/>
      <c r="N35" s="121"/>
    </row>
    <row r="36" spans="1:50" ht="3.95" customHeight="1" x14ac:dyDescent="0.25"/>
    <row r="37" spans="1:50" x14ac:dyDescent="0.25">
      <c r="D37" s="99" t="s">
        <v>19</v>
      </c>
      <c r="E37" s="3"/>
      <c r="F37" s="99" t="s">
        <v>20</v>
      </c>
      <c r="G37" s="3"/>
      <c r="H37" s="100" t="s">
        <v>21</v>
      </c>
      <c r="I37" s="3"/>
      <c r="J37" s="100" t="s">
        <v>22</v>
      </c>
      <c r="K37" s="3"/>
      <c r="L37" s="100" t="s">
        <v>23</v>
      </c>
      <c r="M37" s="3"/>
      <c r="N37" s="100" t="s">
        <v>24</v>
      </c>
      <c r="Q37" s="14" t="s">
        <v>19</v>
      </c>
      <c r="R37" s="14" t="s">
        <v>20</v>
      </c>
      <c r="S37" s="14" t="str">
        <f>child1</f>
        <v>Child 1</v>
      </c>
      <c r="T37" s="14" t="str">
        <f>child2</f>
        <v>Child 2</v>
      </c>
      <c r="U37" s="14" t="str">
        <f>child3</f>
        <v>Child 3</v>
      </c>
      <c r="V37" s="14" t="str">
        <f>child4</f>
        <v>Child 4</v>
      </c>
      <c r="Z37" s="14" t="s">
        <v>19</v>
      </c>
      <c r="AA37" s="14" t="s">
        <v>20</v>
      </c>
      <c r="AB37" s="14" t="str">
        <f>child1</f>
        <v>Child 1</v>
      </c>
      <c r="AC37" s="14" t="str">
        <f>child2</f>
        <v>Child 2</v>
      </c>
      <c r="AD37" s="14" t="str">
        <f>child3</f>
        <v>Child 3</v>
      </c>
      <c r="AE37" s="14" t="str">
        <f>child4</f>
        <v>Child 4</v>
      </c>
      <c r="AI37" s="14" t="s">
        <v>19</v>
      </c>
      <c r="AJ37" s="14" t="s">
        <v>20</v>
      </c>
      <c r="AK37" s="14" t="str">
        <f>child1</f>
        <v>Child 1</v>
      </c>
      <c r="AL37" s="14" t="str">
        <f>child2</f>
        <v>Child 2</v>
      </c>
      <c r="AM37" s="14" t="str">
        <f>child3</f>
        <v>Child 3</v>
      </c>
      <c r="AN37" s="14" t="str">
        <f>child4</f>
        <v>Child 4</v>
      </c>
      <c r="AR37" s="14" t="s">
        <v>19</v>
      </c>
      <c r="AS37" s="14" t="s">
        <v>20</v>
      </c>
      <c r="AT37" s="14" t="str">
        <f>child1</f>
        <v>Child 1</v>
      </c>
      <c r="AU37" s="14" t="str">
        <f>child2</f>
        <v>Child 2</v>
      </c>
      <c r="AV37" s="14" t="str">
        <f>child3</f>
        <v>Child 3</v>
      </c>
      <c r="AW37" s="14" t="str">
        <f>child4</f>
        <v>Child 4</v>
      </c>
    </row>
    <row r="38" spans="1:50" x14ac:dyDescent="0.25">
      <c r="B38" s="98" t="s">
        <v>25</v>
      </c>
      <c r="D38" s="93"/>
      <c r="F38" s="93"/>
      <c r="H38" s="93"/>
      <c r="J38" s="93"/>
      <c r="L38" s="93"/>
      <c r="N38" s="93"/>
      <c r="P38" s="1" t="s">
        <v>63</v>
      </c>
      <c r="Q38" s="4">
        <f>IF($D13&gt;1,$D13*D38,IF($D13=0,0,IF($D$5="No",$D13*D38*200,"")))</f>
        <v>0</v>
      </c>
      <c r="R38" s="4" t="str">
        <f>IF(OR($L$29="ListSP",$L$29="ListFAM"),IF($D13&gt;1,$D13*F38,IF($D13=0,0,IF($D$5="No",$D13*F38*200,""))),"")</f>
        <v/>
      </c>
      <c r="S38" s="4" t="str">
        <f>IF(OR($L$29="ListCH",$L$29="ListFAM"),IF($D13&gt;1,$D13*H38,IF($D13=0,0,IF($D$5="No",$D13*H38*200,""))),"")</f>
        <v/>
      </c>
      <c r="T38" s="4" t="str">
        <f>IF(OR($L$29="ListCH",$L$29="ListFAM"),IF($D13&gt;1,$D13*J38,IF($D13=0,0,IF($D$5="No",$D13*J38*200,""))),"")</f>
        <v/>
      </c>
      <c r="U38" s="4" t="str">
        <f>IF(OR($L$29="ListCH",$L$29="ListFAM"),IF($D13&gt;1,$D13*L38,IF($D13=0,0,IF($D$5="No",$D13*L38*200,""))),"")</f>
        <v/>
      </c>
      <c r="V38" s="4" t="str">
        <f>IF(OR($L$29="ListCH",$L$29="ListFAM"),IF($D13&gt;1,$D13*N38,IF($D13=0,0,IF($D$5="No",$D13*N38*200,""))),"")</f>
        <v/>
      </c>
      <c r="W38" s="4">
        <f>SUM(Q38:V38)</f>
        <v>0</v>
      </c>
      <c r="Y38" s="1" t="s">
        <v>63</v>
      </c>
      <c r="Z38" s="4">
        <f>IF($F13&gt;1,$F13*D38,IF($F13=0,0,IF($F$5="No",$F13*D38*200,"")))</f>
        <v>0</v>
      </c>
      <c r="AA38" s="4" t="str">
        <f>IF(OR($L$29="ListSP",$L$29="ListFAM"),IF($F13&gt;1,$F13*F38,IF($F13=0,0,IF($F$5="No",$F13*F38*200,""))),"")</f>
        <v/>
      </c>
      <c r="AB38" s="4" t="str">
        <f>IF(OR($L$29="ListCH",$L$29="ListFAM"),IF($F13&gt;1,$F13*H38,IF($F13=0,0,IF($F$5="No",$F13*H38*200,""))),"")</f>
        <v/>
      </c>
      <c r="AC38" s="4" t="str">
        <f>IF(OR($L$29="ListCH",$L$29="ListFAM"),IF($F13&gt;1,$F13*J38,IF($F13=0,0,IF($F$5="No",$F13*J38*200,""))),"")</f>
        <v/>
      </c>
      <c r="AD38" s="4" t="str">
        <f>IF(OR($L$29="ListCH",$L$29="ListFAM"),IF($F13&gt;1,$F13*L38,IF($F13=0,0,IF($F$5="No",$F13*L38*200,""))),"")</f>
        <v/>
      </c>
      <c r="AE38" s="4" t="str">
        <f>IF(OR($L$29="ListCH",$L$29="ListFAM"),IF($F13&gt;1,$F13*N38,IF($F13=0,0,IF($F$5="No",$F13*N38*200,""))),"")</f>
        <v/>
      </c>
      <c r="AF38" s="4">
        <f>SUM(Z38:AE38)</f>
        <v>0</v>
      </c>
      <c r="AH38" s="1" t="s">
        <v>63</v>
      </c>
      <c r="AI38" s="4">
        <f>IF($H13&gt;1,$H13*D38,IF($H13=0,0,IF($H$5="No",$H13*D38*200,"")))</f>
        <v>0</v>
      </c>
      <c r="AJ38" s="4" t="str">
        <f>IF(OR($L$29="ListSP",$L$29="ListFAM"),IF($H13&gt;1,$H13*F38,IF($H13=0,0,IF($H$5="No",$H13*F38*200,""))),"")</f>
        <v/>
      </c>
      <c r="AK38" s="4" t="str">
        <f>IF(OR($L$29="ListCH",$L$29="ListFAM"),IF($H13&gt;1,$H13*H38,IF($H13=0,0,IF($H$5="No",$H13*H38*200,""))),"")</f>
        <v/>
      </c>
      <c r="AL38" s="4" t="str">
        <f>IF(OR($L$29="ListCH",$L$29="ListFAM"),IF($H13&gt;1,$H13*J38,IF($H13=0,0,IF($H$5="No",$H13*J38*200,""))),"")</f>
        <v/>
      </c>
      <c r="AM38" s="4" t="str">
        <f>IF(OR($L$29="ListCH",$L$29="ListFAM"),IF($H13&gt;1,$H13*L38,IF($H13=0,0,IF($H$5="No",$H13*L38*200,""))),"")</f>
        <v/>
      </c>
      <c r="AN38" s="4" t="str">
        <f>IF(OR($L$29="ListCH",$L$29="ListFAM"),IF($H13&gt;1,$H13*N38,IF($H13=0,0,IF($H$5="No",$H13*N38*200,""))),"")</f>
        <v/>
      </c>
      <c r="AO38" s="4">
        <f>SUM(AI38:AN38)</f>
        <v>0</v>
      </c>
      <c r="AQ38" s="1" t="s">
        <v>63</v>
      </c>
      <c r="AR38" s="4">
        <f>IF($J13&gt;1,$J13*D38,IF($J13=0,0,IF($J$5="No",$J13*D38*200,"")))</f>
        <v>0</v>
      </c>
      <c r="AS38" s="4" t="str">
        <f>IF(OR($L$29="ListSP",$L$29="ListFAM"),IF($J13&gt;1,$J13*F38,IF($J13=0,0,IF($J$5="No",$J13*F38*200,""))),"")</f>
        <v/>
      </c>
      <c r="AT38" s="4" t="str">
        <f>IF(OR($L$29="ListCH",$L$29="ListFAM"),IF($J13&gt;1,$J13*H38,IF($J13=0,0,IF($J$5="No",$J13*H38*200,""))),"")</f>
        <v/>
      </c>
      <c r="AU38" s="4" t="str">
        <f>IF(OR($L$29="ListCH",$L$29="ListFAM"),IF($J13&gt;1,$J13*J38,IF($J13=0,0,IF($J$5="No",$J13*J38*200,""))),"")</f>
        <v/>
      </c>
      <c r="AV38" s="4" t="str">
        <f>IF(OR($L$29="ListCH",$L$29="ListFAM"),IF($J13&gt;1,$J13*L38,IF($J13=0,0,IF($J$5="No",$J13*L38*200,""))),"")</f>
        <v/>
      </c>
      <c r="AW38" s="4" t="str">
        <f>IF(OR($L$29="ListCH",$L$29="ListFAM"),IF($J13&gt;1,$J13*N38,IF($J13=0,0,IF($J$5="No",$J13*N38*200,""))),"")</f>
        <v/>
      </c>
      <c r="AX38" s="4">
        <f>SUM(AR38:AW38)</f>
        <v>0</v>
      </c>
    </row>
    <row r="39" spans="1:50" x14ac:dyDescent="0.25">
      <c r="B39" s="98" t="s">
        <v>26</v>
      </c>
      <c r="D39" s="93"/>
      <c r="F39" s="93"/>
      <c r="H39" s="93"/>
      <c r="J39" s="93"/>
      <c r="L39" s="93"/>
      <c r="N39" s="93"/>
      <c r="P39" s="1" t="s">
        <v>64</v>
      </c>
      <c r="Q39" s="4">
        <f>IF($D14&gt;1,$D14*D39,IF($D14=0,0,IF($D$5="No",$D14*D39*100,"")))</f>
        <v>0</v>
      </c>
      <c r="R39" s="4" t="str">
        <f>IF(OR($L$29="ListSP",$L$29="ListFAM"),IF($D14&gt;1,$D14*F39,IF($D14=0,0,IF($D$5="No",$D14*F39*100,""))),"")</f>
        <v/>
      </c>
      <c r="S39" s="4" t="str">
        <f>IF(OR($L$29="ListCH",$L$29="ListFAM"),IF($D14&gt;1,$D14*H39,IF($D14=0,0,IF($D$5="No",$D14*H39*100,""))),"")</f>
        <v/>
      </c>
      <c r="T39" s="4" t="str">
        <f>IF(OR($L$29="ListCH",$L$29="ListFAM"),IF($D14&gt;1,$D14*J39,IF($D14=0,0,IF($D$5="No",$D14*J39*100,""))),"")</f>
        <v/>
      </c>
      <c r="U39" s="4" t="str">
        <f>IF(OR($L$29="ListCH",$L$29="ListFAM"),IF($D14&gt;1,$D14*L39,IF($D14=0,0,IF($D$5="No",$D14*L39*100,""))),"")</f>
        <v/>
      </c>
      <c r="V39" s="4" t="str">
        <f>IF(OR($L$29="ListCH",$L$29="ListFAM"),IF($D14&gt;1,$D14*N39,IF($D14=0,0,IF($D$5="No",$D14*N39*100,""))),"")</f>
        <v/>
      </c>
      <c r="W39" s="4">
        <f>SUM(Q39:V39)</f>
        <v>0</v>
      </c>
      <c r="Y39" s="1" t="s">
        <v>64</v>
      </c>
      <c r="Z39" s="4">
        <f>IF($F14&gt;1,$F14*D39,IF($F14=0,0,IF($F$5="No",$F14*D39*100,"")))</f>
        <v>0</v>
      </c>
      <c r="AA39" s="4" t="str">
        <f>IF(OR($L$29="ListSP",$L$29="ListFAM"),IF($F14&gt;1,$F14*F39,IF($F14=0,0,IF($F$5="No",$F14*F39*100,""))),"")</f>
        <v/>
      </c>
      <c r="AB39" s="4" t="str">
        <f>IF(OR($L$29="ListCH",$L$29="ListFAM"),IF($F14&gt;1,$F14*H39,IF($F14=0,0,IF($F$5="No",$F14*H39*100,""))),"")</f>
        <v/>
      </c>
      <c r="AC39" s="4" t="str">
        <f>IF(OR($L$29="ListCH",$L$29="ListFAM"),IF($F14&gt;1,$F14*J39,IF($F14=0,0,IF($F$5="No",$F14*J39*100,""))),"")</f>
        <v/>
      </c>
      <c r="AD39" s="4" t="str">
        <f>IF(OR($L$29="ListCH",$L$29="ListFAM"),IF($F14&gt;1,$F14*L39,IF($F14=0,0,IF($F$5="No",$F14*L39*100,""))),"")</f>
        <v/>
      </c>
      <c r="AE39" s="4" t="str">
        <f>IF(OR($L$29="ListCH",$L$29="ListFAM"),IF($F14&gt;1,$F14*N39,IF($F14=0,0,IF($F$5="No",$F14*N39*100,""))),"")</f>
        <v/>
      </c>
      <c r="AF39" s="4">
        <f>SUM(Z39:AE39)</f>
        <v>0</v>
      </c>
      <c r="AH39" s="1" t="s">
        <v>64</v>
      </c>
      <c r="AI39" s="4" t="str">
        <f>IF($H14&gt;1,$H14*D39,IF($H14=0,0,IF($H$5="No",$H14*D39*100,"")))</f>
        <v/>
      </c>
      <c r="AJ39" s="4" t="str">
        <f>IF(OR($L$29="ListSP",$L$29="ListFAM"),IF($H14&gt;1,$H14*F39,IF($H14=0,0,IF($H$5="No",$H14*F39*100,""))),"")</f>
        <v/>
      </c>
      <c r="AK39" s="4" t="str">
        <f>IF(OR($L$29="ListCH",$L$29="ListFAM"),IF($H14&gt;1,$H14*H39,IF($H14=0,0,IF($H$5="No",$H14*H39*100,""))),"")</f>
        <v/>
      </c>
      <c r="AL39" s="4" t="str">
        <f>IF(OR($L$29="ListCH",$L$29="ListFAM"),IF($H14&gt;1,$H14*J39,IF($H14=0,0,IF($H$5="No",$H14*J39*100,""))),"")</f>
        <v/>
      </c>
      <c r="AM39" s="4" t="str">
        <f>IF(OR($L$29="ListCH",$L$29="ListFAM"),IF($H14&gt;1,$H14*L39,IF($H14=0,0,IF($H$5="No",$H14*L39*100,""))),"")</f>
        <v/>
      </c>
      <c r="AN39" s="4" t="str">
        <f>IF(OR($L$29="ListCH",$L$29="ListFAM"),IF($H14&gt;1,$H14*N39,IF($H14=0,0,IF($H$5="No",$H14*N39*100,""))),"")</f>
        <v/>
      </c>
      <c r="AO39" s="4">
        <f>SUM(AI39:AN39)</f>
        <v>0</v>
      </c>
      <c r="AQ39" s="1" t="s">
        <v>64</v>
      </c>
      <c r="AR39" s="4" t="str">
        <f>IF($J14&gt;1,$J14*D39,IF($J14=0,0,IF($J$5="No",$J14*D39*100,"")))</f>
        <v/>
      </c>
      <c r="AS39" s="4" t="str">
        <f>IF(OR($L$29="ListSP",$L$29="ListFAM"),IF($J14&gt;1,$J14*F39,IF($J14=0,0,IF($J$5="No",$J14*F39*100,""))),"")</f>
        <v/>
      </c>
      <c r="AT39" s="4" t="str">
        <f>IF(OR($L$29="ListCH",$L$29="ListFAM"),IF($J14&gt;1,$J14*H39,IF($J14=0,0,IF($J$5="No",$J14*H39*100,""))),"")</f>
        <v/>
      </c>
      <c r="AU39" s="4" t="str">
        <f>IF(OR($L$29="ListCH",$L$29="ListFAM"),IF($J14&gt;1,$J14*J39,IF($J14=0,0,IF($J$5="No",$J14*J39*100,""))),"")</f>
        <v/>
      </c>
      <c r="AV39" s="4" t="str">
        <f>IF(OR($L$29="ListCH",$L$29="ListFAM"),IF($J14&gt;1,$J14*L39,IF($J14=0,0,IF($J$5="No",$J14*L39*100,""))),"")</f>
        <v/>
      </c>
      <c r="AW39" s="4" t="str">
        <f>IF(OR($L$29="ListCH",$L$29="ListFAM"),IF($J14&gt;1,$J14*N39,IF($J14=0,0,IF($J$5="No",$J14*N39*100,""))),"")</f>
        <v/>
      </c>
      <c r="AX39" s="4">
        <f>SUM(AR39:AW39)</f>
        <v>0</v>
      </c>
    </row>
    <row r="40" spans="1:50" x14ac:dyDescent="0.25">
      <c r="B40" s="98" t="s">
        <v>27</v>
      </c>
      <c r="D40" s="93"/>
      <c r="F40" s="93"/>
      <c r="H40" s="93"/>
      <c r="J40" s="93"/>
      <c r="L40" s="93"/>
      <c r="N40" s="93"/>
      <c r="P40" s="1" t="s">
        <v>65</v>
      </c>
      <c r="Q40" s="4">
        <f>IF($D15&gt;1,$D15*D40,IF($D15=0,0,IF($D$5="No",$D15*D40*200,"")))</f>
        <v>0</v>
      </c>
      <c r="R40" s="4" t="str">
        <f>IF(OR($L$29="ListSP",$L$29="ListFAM"),IF($D15&gt;1,$D15*F40,IF($D15=0,0,IF($D$5="No",$D15*F40*200,""))),"")</f>
        <v/>
      </c>
      <c r="S40" s="4" t="str">
        <f>IF(OR($L$29="ListCH",$L$29="ListFAM"),IF($D15&gt;1,$D15*H40,IF($D15=0,0,IF($D$5="No",$D15*H40*200,""))),"")</f>
        <v/>
      </c>
      <c r="T40" s="4" t="str">
        <f>IF(OR($L$29="ListCH",$L$29="ListFAM"),IF($D15&gt;1,$D15*J40,IF($D15=0,0,IF($D$5="No",$D15*J40*200,""))),"")</f>
        <v/>
      </c>
      <c r="U40" s="4" t="str">
        <f>IF(OR($L$29="ListCH",$L$29="ListFAM"),IF($D15&gt;1,$D15*L40,IF($D15=0,0,IF($D$5="No",$D15*L40*200,""))),"")</f>
        <v/>
      </c>
      <c r="V40" s="4" t="str">
        <f>IF(OR($L$29="ListCH",$L$29="ListFAM"),IF($D15&gt;1,$D15*N40,IF($D15=0,0,IF($D$5="No",$D15*N40*200,""))),"")</f>
        <v/>
      </c>
      <c r="W40" s="4">
        <f>SUM(Q40:V40)</f>
        <v>0</v>
      </c>
      <c r="Y40" s="1" t="s">
        <v>65</v>
      </c>
      <c r="Z40" s="4">
        <f>IF($F15&gt;1,$F15*D40,IF($F15=0,0,IF($F$5="No",$F15*D40*200,"")))</f>
        <v>0</v>
      </c>
      <c r="AA40" s="4" t="str">
        <f>IF(OR($L$29="ListSP",$L$29="ListFAM"),IF($F15&gt;1,$F15*F40,IF($F15=0,0,IF($F$5="No",$F15*F40*200,""))),"")</f>
        <v/>
      </c>
      <c r="AB40" s="4" t="str">
        <f>IF(OR($L$29="ListCH",$L$29="ListFAM"),IF($F15&gt;1,$F15*H40,IF($F15=0,0,IF($F$5="No",$F15*H40*200,""))),"")</f>
        <v/>
      </c>
      <c r="AC40" s="4" t="str">
        <f>IF(OR($L$29="ListCH",$L$29="ListFAM"),IF($F15&gt;1,$F15*J40,IF($F15=0,0,IF($F$5="No",$F15*J40*200,""))),"")</f>
        <v/>
      </c>
      <c r="AD40" s="4" t="str">
        <f>IF(OR($L$29="ListCH",$L$29="ListFAM"),IF($F15&gt;1,$F15*L40,IF($F15=0,0,IF($F$5="No",$F15*L40*200,""))),"")</f>
        <v/>
      </c>
      <c r="AE40" s="4" t="str">
        <f>IF(OR($L$29="ListCH",$L$29="ListFAM"),IF($F15&gt;1,$F15*N40,IF($F15=0,0,IF($F$5="No",$F15*N40*200,""))),"")</f>
        <v/>
      </c>
      <c r="AF40" s="4">
        <f>SUM(Z40:AE40)</f>
        <v>0</v>
      </c>
      <c r="AH40" s="1" t="s">
        <v>65</v>
      </c>
      <c r="AI40" s="4" t="str">
        <f>IF($H15&gt;1,$H15*D40,IF($H15=0,0,IF($H$5="No",$H15*D40*200,"")))</f>
        <v/>
      </c>
      <c r="AJ40" s="4" t="str">
        <f>IF(OR($L$29="ListSP",$L$29="ListFAM"),IF($H15&gt;1,$H15*F40,IF($H15=0,0,IF($H$5="No",$H15*F40*200,""))),"")</f>
        <v/>
      </c>
      <c r="AK40" s="4" t="str">
        <f>IF(OR($L$29="ListCH",$L$29="ListFAM"),IF($H15&gt;1,$H15*H40,IF($H15=0,0,IF($H$5="No",$H15*H40*200,""))),"")</f>
        <v/>
      </c>
      <c r="AL40" s="4" t="str">
        <f>IF(OR($L$29="ListCH",$L$29="ListFAM"),IF($H15&gt;1,$H15*J40,IF($H15=0,0,IF($H$5="No",$H15*J40*200,""))),"")</f>
        <v/>
      </c>
      <c r="AM40" s="4" t="str">
        <f>IF(OR($L$29="ListCH",$L$29="ListFAM"),IF($H15&gt;1,$H15*L40,IF($H15=0,0,IF($H$5="No",$H15*L40*200,""))),"")</f>
        <v/>
      </c>
      <c r="AN40" s="4" t="str">
        <f>IF(OR($L$29="ListCH",$L$29="ListFAM"),IF($H15&gt;1,$H15*N40,IF($H15=0,0,IF($H$5="No",$H15*N40*200,""))),"")</f>
        <v/>
      </c>
      <c r="AO40" s="4">
        <f>SUM(AI40:AN40)</f>
        <v>0</v>
      </c>
      <c r="AQ40" s="1" t="s">
        <v>65</v>
      </c>
      <c r="AR40" s="4" t="str">
        <f>IF($J15&gt;1,$J15*D40,IF($J15=0,0,IF($J$5="No",$J15*D40*200,"")))</f>
        <v/>
      </c>
      <c r="AS40" s="4" t="str">
        <f>IF(OR($L$29="ListSP",$L$29="ListFAM"),IF($J15&gt;1,$J15*F40,IF($J15=0,0,IF($J$5="No",$J15*F40*200,""))),"")</f>
        <v/>
      </c>
      <c r="AT40" s="4" t="str">
        <f>IF(OR($L$29="ListCH",$L$29="ListFAM"),IF($J15&gt;1,$J15*H40,IF($J15=0,0,IF($J$5="No",$J15*H40*200,""))),"")</f>
        <v/>
      </c>
      <c r="AU40" s="4" t="str">
        <f>IF(OR($L$29="ListCH",$L$29="ListFAM"),IF($J15&gt;1,$J15*J40,IF($J15=0,0,IF($J$5="No",$J15*J40*200,""))),"")</f>
        <v/>
      </c>
      <c r="AV40" s="4" t="str">
        <f>IF(OR($L$29="ListCH",$L$29="ListFAM"),IF($J15&gt;1,$J15*L40,IF($J15=0,0,IF($J$5="No",$J15*L40*200,""))),"")</f>
        <v/>
      </c>
      <c r="AW40" s="4" t="str">
        <f>IF(OR($L$29="ListCH",$L$29="ListFAM"),IF($J15&gt;1,$J15*N40,IF($J15=0,0,IF($J$5="No",$J15*N40*200,""))),"")</f>
        <v/>
      </c>
      <c r="AX40" s="4">
        <f>SUM(AR40:AW40)</f>
        <v>0</v>
      </c>
    </row>
    <row r="42" spans="1:50" ht="17.25" x14ac:dyDescent="0.3">
      <c r="A42" s="9" t="s">
        <v>35</v>
      </c>
      <c r="B42" s="10"/>
      <c r="C42" s="10"/>
      <c r="D42" s="10"/>
      <c r="E42" s="10"/>
      <c r="F42" s="10"/>
      <c r="G42" s="10"/>
      <c r="H42" s="10"/>
      <c r="I42" s="10"/>
      <c r="J42" s="10"/>
      <c r="K42" s="10"/>
      <c r="L42" s="10"/>
      <c r="M42" s="10"/>
      <c r="N42" s="10"/>
    </row>
    <row r="43" spans="1:50" ht="3.95" customHeight="1" x14ac:dyDescent="0.25"/>
    <row r="44" spans="1:50" ht="42" customHeight="1" x14ac:dyDescent="0.25">
      <c r="B44" s="121" t="s">
        <v>43</v>
      </c>
      <c r="C44" s="121"/>
      <c r="D44" s="121"/>
      <c r="E44" s="121"/>
      <c r="F44" s="121"/>
      <c r="G44" s="121"/>
      <c r="H44" s="121"/>
      <c r="I44" s="121"/>
      <c r="J44" s="121"/>
      <c r="K44" s="121"/>
      <c r="L44" s="121"/>
      <c r="M44" s="121"/>
      <c r="N44" s="121"/>
      <c r="Q44" s="4">
        <f>SUM(IF($D$5="Yes",SUM(D38*200*$D$13,D39*100*$D$14,D40*200*$D$15),0),D48*10000,IF($D$16&lt;=1,D47*500,IF($D$17="Yes",D47*(500-$D$16),0)),SUM(D49:D54),IF($D$18="Yes",SUMPRODUCT(($D$61:$D$70=Q46)*($N61:$N70)),0))</f>
        <v>0</v>
      </c>
      <c r="R44" s="4">
        <f>IF(OR($L$29="ListSP",$L$29="ListFAM"),SUM(IF($D$5="Yes",SUM(F38*200*$D$13,F39*100*$D$14,F40*200*$D$15),0),F48*10000,IF($D$16&lt;=1,F47*500,IF($D$17="Yes",F47*(500-$D$16),0)),SUM(F49:F54),IF($D$18="Yes",SUMPRODUCT(($D$61:$D$70=R46)*($N61:$N70)),0)),0)</f>
        <v>0</v>
      </c>
      <c r="S44" s="4">
        <f>IF(OR($L$29="ListCH",$L$29="ListFAM"),SUM(IF($D$5="Yes",SUM(H38*200*$D$13,H39*100*$D$14,H40*200*$D$15),0),H48*10000,IF($D$16&lt;=1,H47*500,IF($D$17="Yes",H47*(500-$D$16),0)),SUM(H49:H54),IF($D$18="Yes",SUMPRODUCT(($D$61:$D$70=S46)*($N61:$N70)),0)),0)</f>
        <v>0</v>
      </c>
      <c r="T44" s="4">
        <f>IF(OR($L$29="ListCH",$L$29="ListFAM"),SUM(IF($D$5="Yes",SUM(J38*200*$D$13,J39*100*$D$14,J40*200*$D$15),0),J48*10000,IF($D$16&lt;=1,J47*500,IF($D$17="Yes",J47*(500-$D$16),0)),SUM(J49:J54),IF($D$18="Yes",SUMPRODUCT(($D$61:$D$70=T46)*($N61:$N70)),0)),0)</f>
        <v>0</v>
      </c>
      <c r="U44" s="4">
        <f>IF(OR($L$29="ListCH",$L$29="ListFAM"),SUM(IF($D$5="Yes",SUM(L38*200*$D$13,L39*100*$D$14,L40*200*$D$15),0),L48*10000,IF($D$16&lt;=1,L47*500,IF($D$17="Yes",L47*(500-$D$16),0)),SUM(L49:L54),IF($D$18="Yes",SUMPRODUCT(($D$61:$D$70=U46)*($N61:$N70)),0)),0)</f>
        <v>0</v>
      </c>
      <c r="V44" s="4">
        <f>IF(OR($L$29="ListCH",$L$29="ListFAM"),SUM(IF($D$5="Yes",SUM(N38*200*$D$13,N39*100*$D$14,N40*200*$D$15),0),N48*10000,IF($D$16&lt;=1,N47*500,IF($D$17="Yes",N47*(500-$D$16),0)),SUM(N49:N54),IF($D$18="Yes",SUMPRODUCT(($D$61:$D$70=V46)*($N61:$N70)),0)),0)</f>
        <v>0</v>
      </c>
      <c r="W44" s="4">
        <f>SUM(Q44:V44)</f>
        <v>0</v>
      </c>
      <c r="Z44" s="4">
        <f>SUM(IF($F$5="Yes",SUM(D38*200*$F$13,D39*100*$F$14,D40*200*$F$15),0),D48*10000,IF($F$16&lt;=1,D47*500,IF($F$17="Yes",D47*(500-$F$16),0)),SUM(D49:D54),IF($F$18="Yes",SUMPRODUCT(($D$61:$D$70=Z46)*($N61:$N70)),0))</f>
        <v>0</v>
      </c>
      <c r="AA44" s="4">
        <f>IF(OR($L$29="ListSP",$L$29="ListFAM"),SUM(IF($F$5="Yes",SUM(F38*200*$F$13,F39*100*$F$14,F40*200*$F$15),0),F48*10000,IF($F$16&lt;=1,F47*500,IF($F$17="Yes",F47*(500-$F$16),0)),SUM(F49:F54),IF($F$18="Yes",SUMPRODUCT(($D$61:$D$70=AA46)*($N61:$N70)),0)),0)</f>
        <v>0</v>
      </c>
      <c r="AB44" s="4">
        <f>IF(OR($L$29="ListCH",$L$29="ListFAM"),SUM(IF($F$5="Yes",SUM(H38*200*$F$13,H39*100*$F$14,H40*200*$F$15),0),H48*10000,IF($F$16&lt;=1,H47*500,IF($F$17="Yes",H47*(500-$F$16),0)),SUM(H49:H54),IF($F$18="Yes",SUMPRODUCT(($D$61:$D$70=AB46)*($N61:$N70)),0)),0)</f>
        <v>0</v>
      </c>
      <c r="AC44" s="4">
        <f>IF(OR($L$29="ListCH",$L$29="ListFAM"),SUM(IF($F$5="Yes",SUM(J38*200*$F$13,J39*100*$F$14,J40*200*$F$15),0),J48*10000,IF($F$16&lt;=1,J47*500,IF($F$17="Yes",J47*(500-$F$16),0)),SUM(J49:J54),IF($F$18="Yes",SUMPRODUCT(($D$61:$D$70=AC46)*($N61:$N70)),0)),0)</f>
        <v>0</v>
      </c>
      <c r="AD44" s="4">
        <f>IF(OR($L$29="ListCH",$L$29="ListFAM"),SUM(IF($F$5="Yes",SUM(L38*200*$F$13,L39*100*$F$14,L40*200*$F$15),0),L48*10000,IF($F$16&lt;=1,L47*500,IF($F$17="Yes",L47*(500-$F$16),0)),SUM(L49:L54),IF($F$18="Yes",SUMPRODUCT(($D$61:$D$70=AD46)*($N61:$N70)),0)),0)</f>
        <v>0</v>
      </c>
      <c r="AE44" s="4">
        <f>IF(OR($L$29="ListCH",$L$29="ListFAM"),SUM(IF($F$5="Yes",SUM(N38*200*$F$13,N39*100*$F$14,N40*200*$F$15),0),N48*10000,IF($F$16&lt;=1,N47*500,IF($F$17="Yes",N47*(500-$F$16),0)),SUM(N49:N54),IF($F$18="Yes",SUMPRODUCT(($D$61:$D$70=AE46)*($N61:$N70)),0)),0)</f>
        <v>0</v>
      </c>
      <c r="AF44" s="4">
        <f>SUM(Z44:AE44)</f>
        <v>0</v>
      </c>
      <c r="AI44" s="4">
        <f>SUM(IF($H$5="Yes",SUM(D38*200*$H$13,D39*100*$H$14,D40*200*$H$15),0),D48*10000,IF($H$16&lt;=1,D47*500,IF($H$17="Yes",D47*(500-$H$16),0)),SUM(D49:D54),IF($H$18="Yes",SUMPRODUCT(($D$61:$D$70=AI46)*($N61:$N70)),0))</f>
        <v>0</v>
      </c>
      <c r="AJ44" s="4">
        <f>IF(OR($L$29="ListSP",$L$29="ListFAM"),SUM(IF($H$5="Yes",SUM(F38*200*$H$13,F39*100*$H$14,F40*200*$H$15),0),F48*10000,IF($H$16&lt;=1,F47*500,IF($H$17="Yes",F47*(500-$H$16),0)),SUM(F49:F54),IF($H$18="Yes",SUMPRODUCT(($D$61:$D$70=AJ46)*($N61:$N70)),0)),0)</f>
        <v>0</v>
      </c>
      <c r="AK44" s="4">
        <f>IF(OR($L$29="ListCH",$L$29="ListFAM"),SUM(IF($H$5="Yes",SUM(H38*200*$H$13,H39*100*$H$14,H40*200*$H$15),0),H48*10000,IF($H$16&lt;=1,H47*500,IF($H$17="Yes",H47*(500-$H$16),0)),SUM(H49:H54),IF($H$18="Yes",SUMPRODUCT(($D$61:$D$70=AK46)*($N61:$N70)),0)),0)</f>
        <v>0</v>
      </c>
      <c r="AL44" s="4">
        <f>IF(OR($L$29="ListCH",$L$29="ListFAM"),SUM(IF($H$5="Yes",SUM(J38*200*$H$13,J39*100*$H$14,J40*200*$H$15),0),J48*10000,IF($H$16&lt;=1,J47*500,IF($H$17="Yes",J47*(500-$H$16),0)),SUM(J49:J54),IF($H$18="Yes",SUMPRODUCT(($D$61:$D$70=AL46)*($N61:$N70)),0)),0)</f>
        <v>0</v>
      </c>
      <c r="AM44" s="4">
        <f>IF(OR($L$29="ListCH",$L$29="ListFAM"),SUM(IF($H$5="Yes",SUM(L38*200*$H$13,L39*100*$H$14,L40*200*$H$15),0),L48*10000,IF($H$16&lt;=1,L47*500,IF($H$17="Yes",L47*(500-$H$16),0)),SUM(L49:L54),IF($H$18="Yes",SUMPRODUCT(($D$61:$D$70=AM46)*($N61:$N70)),0)),0)</f>
        <v>0</v>
      </c>
      <c r="AN44" s="4">
        <f>IF(OR($L$29="ListCH",$L$29="ListFAM"),SUM(IF($H$5="Yes",SUM(N38*200*$H$13,N39*100*$H$14,N40*200*$H$15),0),N48*10000,IF($H$16&lt;=1,N47*500,IF($H$17="Yes",N47*(500-$H$16),0)),SUM(N49:N54),IF($H$18="Yes",SUMPRODUCT(($D$61:$D$70=AN46)*($N61:$N70)),0)),0)</f>
        <v>0</v>
      </c>
      <c r="AO44" s="4">
        <f>SUM(AI44:AN44)</f>
        <v>0</v>
      </c>
      <c r="AR44" s="4">
        <f>SUM(IF($J$5="Yes",SUM(D38*200*$J$13,D39*100*$J$14,D40*200*$J$15),0),D48*10000,IF($J$16&lt;=1,D47*500,IF($J$17="Yes",D47*(500-$J$16),0)),SUM(D49:D54),IF($J$18="Yes",SUMPRODUCT(($D$61:$D$70=AR46)*($N61:$N70)),0))</f>
        <v>0</v>
      </c>
      <c r="AS44" s="4">
        <f>IF(OR($L$29="ListSP",$L$29="ListFAM"),SUM(IF($J$5="Yes",SUM(F38*200*$J$13,F39*100*$J$14,F40*200*$J$15),0),F48*10000,IF($J$16&lt;=1,F47*500,IF($J$17="Yes",F47*(500-$J$16),0)),SUM(F49:F54),IF($J$18="Yes",SUMPRODUCT(($D$61:$D$70=AS46)*($N61:$N70)),0)),0)</f>
        <v>0</v>
      </c>
      <c r="AT44" s="4">
        <f>IF(OR($L$29="ListCH",$L$29="ListFAM"),SUM(IF($J$5="Yes",SUM(H38*200*$J$13,H39*100*$J$14,H40*200*$J$15),0),H48*10000,IF($J$16&lt;=1,H47*500,IF($J$17="Yes",H47*(500-$J$16),0)),SUM(H49:H54),IF($J$18="Yes",SUMPRODUCT(($D$61:$D$70=AT46)*($N61:$N70)),0)),0)</f>
        <v>0</v>
      </c>
      <c r="AU44" s="4">
        <f>IF(OR($L$29="ListCH",$L$29="ListFAM"),SUM(IF($J$5="Yes",SUM(J38*200*$J$13,J39*100*$J$14,J40*200*$J$15),0),J48*10000,IF($J$16&lt;=1,J47*500,IF($J$17="Yes",J47*(500-$J$16),0)),SUM(J49:J54),IF($J$18="Yes",SUMPRODUCT(($D$61:$D$70=AU46)*($N61:$N70)),0)),0)</f>
        <v>0</v>
      </c>
      <c r="AV44" s="4">
        <f>IF(OR($L$29="ListCH",$L$29="ListFAM"),SUM(IF($J$5="Yes",SUM(L38*200*$J$13,L39*100*$J$14,L40*200*$J$15),0),L48*10000,IF($J$16&lt;=1,L47*500,IF($J$17="Yes",L47*(500-$J$16),0)),SUM(L49:L54),IF($J$18="Yes",SUMPRODUCT(($D$61:$D$70=AV46)*($N61:$N70)),0)),0)</f>
        <v>0</v>
      </c>
      <c r="AW44" s="4">
        <f>IF(OR($L$29="ListCH",$L$29="ListFAM"),SUM(IF($J$5="Yes",SUM(N38*200*$J$13,N39*100*$J$14,N40*200*$J$15),0),N48*10000,IF($J$16&lt;=1,N47*500,IF($J$17="Yes",N47*(500-$J$16),0)),SUM(N49:N54),IF($J$18="Yes",SUMPRODUCT(($D$61:$D$70=AW46)*($N61:$N70)),0)),0)</f>
        <v>0</v>
      </c>
      <c r="AX44" s="4">
        <f>SUM(AR44:AW44)</f>
        <v>0</v>
      </c>
    </row>
    <row r="45" spans="1:50" ht="3.95" customHeight="1" x14ac:dyDescent="0.25"/>
    <row r="46" spans="1:50" x14ac:dyDescent="0.25">
      <c r="D46" s="99" t="s">
        <v>19</v>
      </c>
      <c r="E46" s="3"/>
      <c r="F46" s="99" t="s">
        <v>20</v>
      </c>
      <c r="G46" s="3"/>
      <c r="H46" s="99" t="str">
        <f>child1</f>
        <v>Child 1</v>
      </c>
      <c r="I46" s="3"/>
      <c r="J46" s="99" t="str">
        <f>child2</f>
        <v>Child 2</v>
      </c>
      <c r="K46" s="3"/>
      <c r="L46" s="99" t="str">
        <f>child3</f>
        <v>Child 3</v>
      </c>
      <c r="M46" s="3"/>
      <c r="N46" s="99" t="str">
        <f>child4</f>
        <v>Child 4</v>
      </c>
      <c r="Q46" s="14" t="s">
        <v>19</v>
      </c>
      <c r="R46" s="14" t="s">
        <v>20</v>
      </c>
      <c r="S46" s="14" t="str">
        <f>child1</f>
        <v>Child 1</v>
      </c>
      <c r="T46" s="14" t="str">
        <f>child2</f>
        <v>Child 2</v>
      </c>
      <c r="U46" s="14" t="str">
        <f>child3</f>
        <v>Child 3</v>
      </c>
      <c r="V46" s="14" t="str">
        <f>child4</f>
        <v>Child 4</v>
      </c>
      <c r="Z46" s="14" t="s">
        <v>19</v>
      </c>
      <c r="AA46" s="14" t="s">
        <v>20</v>
      </c>
      <c r="AB46" s="14" t="str">
        <f>child1</f>
        <v>Child 1</v>
      </c>
      <c r="AC46" s="14" t="str">
        <f>child2</f>
        <v>Child 2</v>
      </c>
      <c r="AD46" s="14" t="str">
        <f>child3</f>
        <v>Child 3</v>
      </c>
      <c r="AE46" s="14" t="str">
        <f>child4</f>
        <v>Child 4</v>
      </c>
      <c r="AI46" s="14" t="s">
        <v>19</v>
      </c>
      <c r="AJ46" s="14" t="s">
        <v>20</v>
      </c>
      <c r="AK46" s="14" t="str">
        <f>child1</f>
        <v>Child 1</v>
      </c>
      <c r="AL46" s="14" t="str">
        <f>child2</f>
        <v>Child 2</v>
      </c>
      <c r="AM46" s="14" t="str">
        <f>child3</f>
        <v>Child 3</v>
      </c>
      <c r="AN46" s="14" t="str">
        <f>child4</f>
        <v>Child 4</v>
      </c>
      <c r="AR46" s="14" t="s">
        <v>19</v>
      </c>
      <c r="AS46" s="14" t="s">
        <v>20</v>
      </c>
      <c r="AT46" s="14" t="str">
        <f>child1</f>
        <v>Child 1</v>
      </c>
      <c r="AU46" s="14" t="str">
        <f>child2</f>
        <v>Child 2</v>
      </c>
      <c r="AV46" s="14" t="str">
        <f>child3</f>
        <v>Child 3</v>
      </c>
      <c r="AW46" s="14" t="str">
        <f>child4</f>
        <v>Child 4</v>
      </c>
    </row>
    <row r="47" spans="1:50" ht="14.25" x14ac:dyDescent="0.3">
      <c r="B47" s="98" t="s">
        <v>96</v>
      </c>
      <c r="D47" s="93"/>
      <c r="F47" s="93"/>
      <c r="H47" s="93"/>
      <c r="J47" s="93"/>
      <c r="L47" s="93"/>
      <c r="N47" s="93"/>
      <c r="P47" s="1" t="s">
        <v>46</v>
      </c>
      <c r="Q47" s="4">
        <f>IF($D16&gt;1,$D16*D47,IF($D16=0,0,0))</f>
        <v>0</v>
      </c>
      <c r="R47" s="4" t="str">
        <f>IF(OR($L$29="ListSP",$L$29="ListFAM"),IF($D16&gt;1,$D16*F47,IF($D16=0,0,"")),"")</f>
        <v/>
      </c>
      <c r="S47" s="4" t="str">
        <f>IF(OR($L$29="ListCH",$L$29="ListFAM"),IF($D16&gt;1,$D16*H47,IF($D16=0,0,"")),"")</f>
        <v/>
      </c>
      <c r="T47" s="4" t="str">
        <f>IF(OR($L$29="ListCH",$L$29="ListFAM"),IF($D16&gt;1,$D16*J47,IF($D16=0,0,"")),"")</f>
        <v/>
      </c>
      <c r="U47" s="4" t="str">
        <f>IF(OR($L$29="ListCH",$L$29="ListFAM"),IF($D16&gt;1,$D16*L47,IF($D16=0,0,"")),"")</f>
        <v/>
      </c>
      <c r="V47" s="4" t="str">
        <f>IF(OR($L$29="ListCH",$L$29="ListFAM"),IF($D16&gt;1,$D16*N47,IF($D16=0,0,"")),"")</f>
        <v/>
      </c>
      <c r="W47" s="4">
        <f>SUM(Q47:V47)</f>
        <v>0</v>
      </c>
      <c r="Y47" s="1" t="s">
        <v>46</v>
      </c>
      <c r="Z47" s="4">
        <f>IF($F16&gt;1,$F16*D47,IF($F16=0,0,0))</f>
        <v>0</v>
      </c>
      <c r="AA47" s="4" t="str">
        <f>IF(OR($L$29="ListSP",$L$29="ListFAM"),IF($F16&gt;1,$F16*F47,IF($F16=0,0,"")),"")</f>
        <v/>
      </c>
      <c r="AB47" s="4" t="str">
        <f>IF(OR($L$29="ListCH",$L$29="ListFAM"),IF($F16&gt;1,$F16*H47,IF($F16=0,0,"")),"")</f>
        <v/>
      </c>
      <c r="AC47" s="4" t="str">
        <f>IF(OR($L$29="ListCH",$L$29="ListFAM"),IF($F16&gt;1,$F16*J47,IF($F16=0,0,"")),"")</f>
        <v/>
      </c>
      <c r="AD47" s="4" t="str">
        <f>IF(OR($L$29="ListCH",$L$29="ListFAM"),IF($F16&gt;1,$F16*L47,IF($F16=0,0,"")),"")</f>
        <v/>
      </c>
      <c r="AE47" s="4" t="str">
        <f>IF(OR($L$29="ListCH",$L$29="ListFAM"),IF($F16&gt;1,$F16*N47,IF($F16=0,0,"")),"")</f>
        <v/>
      </c>
      <c r="AF47" s="4">
        <f>SUM(Z47:AE47)</f>
        <v>0</v>
      </c>
      <c r="AH47" s="1" t="s">
        <v>46</v>
      </c>
      <c r="AI47" s="4">
        <f>IF($H16&gt;1,$H16*D47,IF($H16=0,0,0))</f>
        <v>0</v>
      </c>
      <c r="AJ47" s="4" t="str">
        <f>IF(OR($L$29="ListSP",$L$29="ListFAM"),IF($H16&gt;1,$H16*F47,IF($H16=0,0,"")),"")</f>
        <v/>
      </c>
      <c r="AK47" s="4" t="str">
        <f>IF(OR($L$29="ListCH",$L$29="ListFAM"),IF($H16&gt;1,$H16*H47,IF($H16=0,0,"")),"")</f>
        <v/>
      </c>
      <c r="AL47" s="4" t="str">
        <f>IF(OR($L$29="ListCH",$L$29="ListFAM"),IF($H16&gt;1,$H16*J47,IF($H16=0,0,"")),"")</f>
        <v/>
      </c>
      <c r="AM47" s="4" t="str">
        <f>IF(OR($L$29="ListCH",$L$29="ListFAM"),IF($H16&gt;1,$H16*L47,IF($H16=0,0,"")),"")</f>
        <v/>
      </c>
      <c r="AN47" s="4" t="str">
        <f>IF(OR($L$29="ListCH",$L$29="ListFAM"),IF($H16&gt;1,$H16*N47,IF($H16=0,0,"")),"")</f>
        <v/>
      </c>
      <c r="AO47" s="4">
        <f>SUM(AI47:AN47)</f>
        <v>0</v>
      </c>
      <c r="AQ47" s="1" t="s">
        <v>46</v>
      </c>
      <c r="AR47" s="4">
        <f>IF($J16&gt;1,$J16*D47,IF($J16=0,0,0))</f>
        <v>0</v>
      </c>
      <c r="AS47" s="4" t="str">
        <f>IF(OR($L$29="ListSP",$L$29="ListFAM"),IF($J16&gt;1,$J16*F47,IF($J16=0,0,"")),"")</f>
        <v/>
      </c>
      <c r="AT47" s="4" t="str">
        <f>IF(OR($L$29="ListCH",$L$29="ListFAM"),IF($J16&gt;1,$J16*H47,IF($J16=0,0,"")),"")</f>
        <v/>
      </c>
      <c r="AU47" s="4" t="str">
        <f>IF(OR($L$29="ListCH",$L$29="ListFAM"),IF($J16&gt;1,$J16*J47,IF($J16=0,0,"")),"")</f>
        <v/>
      </c>
      <c r="AV47" s="4" t="str">
        <f>IF(OR($L$29="ListCH",$L$29="ListFAM"),IF($J16&gt;1,$J16*L47,IF($J16=0,0,"")),"")</f>
        <v/>
      </c>
      <c r="AW47" s="4" t="str">
        <f>IF(OR($L$29="ListCH",$L$29="ListFAM"),IF($J16&gt;1,$J16*N47,IF($J16=0,0,"")),"")</f>
        <v/>
      </c>
      <c r="AX47" s="4">
        <f>SUM(AR47:AW47)</f>
        <v>0</v>
      </c>
    </row>
    <row r="48" spans="1:50" ht="14.25" x14ac:dyDescent="0.3">
      <c r="B48" s="98" t="s">
        <v>97</v>
      </c>
      <c r="D48" s="93"/>
      <c r="F48" s="93"/>
      <c r="H48" s="93"/>
      <c r="J48" s="93"/>
      <c r="L48" s="93"/>
      <c r="N48" s="93"/>
      <c r="P48" s="1" t="s">
        <v>66</v>
      </c>
      <c r="Q48" s="4">
        <f>MIN($D$6,Q44)</f>
        <v>0</v>
      </c>
      <c r="R48" s="4">
        <f>IF(OR($L$29="ListSP",$L$29="ListFAM"),MIN($D$6,R44),0)</f>
        <v>0</v>
      </c>
      <c r="S48" s="4">
        <f>IF(OR($L$29="ListCH",$L$29="ListFAM"),MIN($D$6,S44),0)</f>
        <v>0</v>
      </c>
      <c r="T48" s="4">
        <f>IF(OR($L$29="ListCH",$L$29="ListFAM"),MIN($D$6,T44),0)</f>
        <v>0</v>
      </c>
      <c r="U48" s="4">
        <f>IF(OR($L$29="ListCH",$L$29="ListFAM"),MIN($D$6,U44),0)</f>
        <v>0</v>
      </c>
      <c r="V48" s="4">
        <f>IF(OR($L$29="ListCH",$L$29="ListFAM"),MIN($D$6,V44),0)</f>
        <v>0</v>
      </c>
      <c r="W48" s="4">
        <f>IF($H$29="Employee Only",Q48,MIN($D$7,SUM(Q48:V48)))</f>
        <v>0</v>
      </c>
      <c r="Y48" s="1" t="s">
        <v>66</v>
      </c>
      <c r="Z48" s="4">
        <f>MIN($F$6,Z44)</f>
        <v>0</v>
      </c>
      <c r="AA48" s="4">
        <f>IF(OR($L$29="ListSP",$L$29="ListFAM"),MIN($F$6,AA44),0)</f>
        <v>0</v>
      </c>
      <c r="AB48" s="4">
        <f>IF(OR($L$29="ListCH",$L$29="ListFAM"),MIN($F$6,AB44),0)</f>
        <v>0</v>
      </c>
      <c r="AC48" s="4">
        <f>IF(OR($L$29="ListCH",$L$29="ListFAM"),MIN($F$6,AC44),0)</f>
        <v>0</v>
      </c>
      <c r="AD48" s="4">
        <f>IF(OR($L$29="ListCH",$L$29="ListFAM"),MIN($F$6,AD44),0)</f>
        <v>0</v>
      </c>
      <c r="AE48" s="4">
        <f>IF(OR($L$29="ListCH",$L$29="ListFAM"),MIN($F$6,AE44),0)</f>
        <v>0</v>
      </c>
      <c r="AF48" s="4">
        <f>IF($H$29="Employee Only",Z48,MIN($F$7,SUM(Z48:AE48)))</f>
        <v>0</v>
      </c>
      <c r="AH48" s="1" t="s">
        <v>66</v>
      </c>
      <c r="AI48" s="4">
        <f>MIN($H$6,AI44)</f>
        <v>0</v>
      </c>
      <c r="AJ48" s="4">
        <f>IF(OR($L$29="ListSP",$L$29="ListFAM"),MIN($H$6,AJ44),0)</f>
        <v>0</v>
      </c>
      <c r="AK48" s="4">
        <f>IF(OR($L$29="ListCH",$L$29="ListFAM"),MIN($H$6,AK44),0)</f>
        <v>0</v>
      </c>
      <c r="AL48" s="4">
        <f>IF(OR($L$29="ListCH",$L$29="ListFAM"),MIN($H$6,AL44),0)</f>
        <v>0</v>
      </c>
      <c r="AM48" s="4">
        <f>IF(OR($L$29="ListCH",$L$29="ListFAM"),MIN($H$6,AM44),0)</f>
        <v>0</v>
      </c>
      <c r="AN48" s="4">
        <f>IF(OR($L$29="ListCH",$L$29="ListFAM"),MIN($H$6,AN44),0)</f>
        <v>0</v>
      </c>
      <c r="AO48" s="4">
        <f>IF($H$29="Employee Only",AI48,MIN($H$7,SUM(AI48:AN48)))</f>
        <v>0</v>
      </c>
      <c r="AQ48" s="1" t="s">
        <v>66</v>
      </c>
      <c r="AR48" s="4">
        <f>MIN($J$6,AR44)</f>
        <v>0</v>
      </c>
      <c r="AS48" s="4">
        <f>IF(OR($L$29="ListSP",$L$29="ListFAM"),MIN($J$6,AS44),0)</f>
        <v>0</v>
      </c>
      <c r="AT48" s="4">
        <f>IF(OR($L$29="ListCH",$L$29="ListFAM"),MIN($J$6,AT44),0)</f>
        <v>0</v>
      </c>
      <c r="AU48" s="4">
        <f>IF(OR($L$29="ListCH",$L$29="ListFAM"),MIN($J$6,AU44),0)</f>
        <v>0</v>
      </c>
      <c r="AV48" s="4">
        <f>IF(OR($L$29="ListCH",$L$29="ListFAM"),MIN($J$6,AV44),0)</f>
        <v>0</v>
      </c>
      <c r="AW48" s="4">
        <f>IF(OR($L$29="ListCH",$L$29="ListFAM"),MIN($J$6,AW44),0)</f>
        <v>0</v>
      </c>
      <c r="AX48" s="4">
        <f>IF($H$29="Employee Only",AR48,MIN($J$7,SUM(AR48:AW48)))</f>
        <v>0</v>
      </c>
    </row>
    <row r="49" spans="1:50" x14ac:dyDescent="0.25">
      <c r="B49" s="94"/>
      <c r="D49" s="95"/>
      <c r="F49" s="95"/>
      <c r="H49" s="95"/>
      <c r="J49" s="95"/>
      <c r="L49" s="95"/>
      <c r="N49" s="95"/>
      <c r="P49" s="1" t="s">
        <v>67</v>
      </c>
      <c r="Q49" s="4">
        <f>IF(Q48=$D$6,MIN($D$9,(Q44-Q48)*$D$8),0)</f>
        <v>0</v>
      </c>
      <c r="R49" s="4">
        <f>IF(OR($L$29="ListSP",$L$29="ListFAM"),IF(R48=$D$6,MIN($D$9,(R44-R48)*$D$8),0),0)</f>
        <v>0</v>
      </c>
      <c r="S49" s="4">
        <f>IF(OR($L$29="ListCH",$L$29="ListFAM"),IF(S48=$D$6,MIN($D$9,(S44-S48)*$D$8),0),0)</f>
        <v>0</v>
      </c>
      <c r="T49" s="4">
        <f>IF(OR($L$29="ListCH",$L$29="ListFAM"),IF(T48=$D$6,MIN($D$9,(T44-T48)*$D$8),0),0)</f>
        <v>0</v>
      </c>
      <c r="U49" s="4">
        <f>IF(OR($L$29="ListCH",$L$29="ListFAM"),IF(U48=$D$6,MIN($D$9,(U44-U48)*$D$8),0),0)</f>
        <v>0</v>
      </c>
      <c r="V49" s="4">
        <f>IF(OR($L$29="ListCH",$L$29="ListFAM"),IF(V48=$D$6,MIN($D$9,(V44-V48)*$D$8),0),0)</f>
        <v>0</v>
      </c>
      <c r="W49" s="4">
        <f>IF($H$29="Employee Only",Q49,MIN($D$10,SUM(Q49:V49)))</f>
        <v>0</v>
      </c>
      <c r="Y49" s="1" t="s">
        <v>67</v>
      </c>
      <c r="Z49" s="4">
        <f>IF(Z48=$F$6,MIN($F$9,(Z44-Z48)*$F$8),0)</f>
        <v>0</v>
      </c>
      <c r="AA49" s="4">
        <f>IF(OR($L$29="ListSP",$L$29="ListFAM"),IF(AA48=$F$6,MIN($F$9,(AA44-AA48)*$F$8),0),0)</f>
        <v>0</v>
      </c>
      <c r="AB49" s="4">
        <f>IF(OR($L$29="ListCH",$L$29="ListFAM"),IF(AB48=$F$6,MIN($F$9,(AB44-AB48)*$F$8),0),0)</f>
        <v>0</v>
      </c>
      <c r="AC49" s="4">
        <f>IF(OR($L$29="ListCH",$L$29="ListFAM"),IF(AC48=$F$6,MIN($F$9,(AC44-AC48)*$F$8),0),0)</f>
        <v>0</v>
      </c>
      <c r="AD49" s="4">
        <f>IF(OR($L$29="ListCH",$L$29="ListFAM"),IF(AD48=$F$6,MIN($F$9,(AD44-AD48)*$F$8),0),0)</f>
        <v>0</v>
      </c>
      <c r="AE49" s="4">
        <f>IF(OR($L$29="ListCH",$L$29="ListFAM"),IF(AE48=$F$6,MIN($F$9,(AE44-AE48)*$F$8),0),0)</f>
        <v>0</v>
      </c>
      <c r="AF49" s="4">
        <f>IF($H$29="Employee Only",Z49,MIN($F$10,SUM(Z49:AE49)))</f>
        <v>0</v>
      </c>
      <c r="AH49" s="1" t="s">
        <v>67</v>
      </c>
      <c r="AI49" s="4">
        <f>IF(AI48=$H$6,MIN($H$9,(AI44-AI48)*$H$8),0)</f>
        <v>0</v>
      </c>
      <c r="AJ49" s="4">
        <f>IF(OR($L$29="ListSP",$L$29="ListFAM"),IF(AJ48=$H$6,MIN($H$9,(AJ44-AJ48)*$H$8),0),0)</f>
        <v>0</v>
      </c>
      <c r="AK49" s="4">
        <f>IF(OR($L$29="ListCH",$L$29="ListFAM"),IF(AK48=$H$6,MIN($H$9,(AK44-AK48)*$H$8),0),0)</f>
        <v>0</v>
      </c>
      <c r="AL49" s="4">
        <f>IF(OR($L$29="ListCH",$L$29="ListFAM"),IF(AL48=$H$6,MIN($H$9,(AL44-AL48)*$H$8),0),0)</f>
        <v>0</v>
      </c>
      <c r="AM49" s="4">
        <f>IF(OR($L$29="ListCH",$L$29="ListFAM"),IF(AM48=$H$6,MIN($H$9,(AM44-AM48)*$H$8),0),0)</f>
        <v>0</v>
      </c>
      <c r="AN49" s="4">
        <f>IF(OR($L$29="ListCH",$L$29="ListFAM"),IF(AN48=$H$6,MIN($H$9,(AN44-AN48)*$H$8),0),0)</f>
        <v>0</v>
      </c>
      <c r="AO49" s="4">
        <f>IF($H$29="Employee Only",AI49,MIN($H$10,SUM(AI49:AN49)))</f>
        <v>0</v>
      </c>
      <c r="AQ49" s="1" t="s">
        <v>67</v>
      </c>
      <c r="AR49" s="4">
        <f>IF(AR48=$J$6,MIN($J$9,(AR44-AR48)*$J$8),0)</f>
        <v>0</v>
      </c>
      <c r="AS49" s="4">
        <f>IF(OR($L$29="ListSP",$L$29="ListFAM"),IF(AS48=$J$6,MIN($J$9,(AS44-AS48)*$J$8),0),0)</f>
        <v>0</v>
      </c>
      <c r="AT49" s="4">
        <f>IF(OR($L$29="ListCH",$L$29="ListFAM"),IF(AT48=$J$6,MIN($J$9,(AT44-AT48)*$J$8),0),0)</f>
        <v>0</v>
      </c>
      <c r="AU49" s="4">
        <f>IF(OR($L$29="ListCH",$L$29="ListFAM"),IF(AU48=$J$6,MIN($J$9,(AU44-AU48)*$J$8),0),0)</f>
        <v>0</v>
      </c>
      <c r="AV49" s="4">
        <f>IF(OR($L$29="ListCH",$L$29="ListFAM"),IF(AV48=$J$6,MIN($J$9,(AV44-AV48)*$J$8),0),0)</f>
        <v>0</v>
      </c>
      <c r="AW49" s="4">
        <f>IF(OR($L$29="ListCH",$L$29="ListFAM"),IF(AW48=$J$6,MIN($J$9,(AW44-AW48)*$J$8),0),0)</f>
        <v>0</v>
      </c>
      <c r="AX49" s="4">
        <f>IF($H$29="Employee Only",AR49,MIN($J$10,SUM(AR49:AW49)))</f>
        <v>0</v>
      </c>
    </row>
    <row r="50" spans="1:50" x14ac:dyDescent="0.25">
      <c r="B50" s="94"/>
      <c r="D50" s="95"/>
      <c r="F50" s="95"/>
      <c r="H50" s="95"/>
      <c r="J50" s="95"/>
      <c r="L50" s="95"/>
      <c r="N50" s="95"/>
      <c r="P50" s="1" t="s">
        <v>68</v>
      </c>
      <c r="Q50" s="4">
        <f>IF($D$19&gt;0,MIN($D$19,SUMPRODUCT(($D$61:$D$70=Q46)*($N$61:$N$70))),0)</f>
        <v>0</v>
      </c>
      <c r="R50" s="4">
        <f>IF(OR($L$29="ListSP",$L$29="ListFAM"),IF($D$19&gt;0,MIN($D$19,SUMPRODUCT(($D$61:$D$70=R46)*($N$61:$N$70))),0),0)</f>
        <v>0</v>
      </c>
      <c r="S50" s="4">
        <f>IF(OR($L$29="ListCH",$L$29="ListFAM"),IF($D$19&gt;0,MIN($D$19,SUMPRODUCT(($D$61:$D$70=S46)*($N$61:$N$70))),0),0)</f>
        <v>0</v>
      </c>
      <c r="T50" s="4">
        <f>IF(OR($L$29="ListCH",$L$29="ListFAM"),IF($D$19&gt;0,MIN($D$19,SUMPRODUCT(($D$61:$D$70=T46)*($N$61:$N$70))),0),0)</f>
        <v>0</v>
      </c>
      <c r="U50" s="4">
        <f>IF(OR($L$29="ListCH",$L$29="ListFAM"),IF($D$19&gt;0,MIN($D$19,SUMPRODUCT(($D$61:$D$70=U46)*($N$61:$N$70))),0),0)</f>
        <v>0</v>
      </c>
      <c r="V50" s="4">
        <f>IF(OR($L$29="ListCH",$L$29="ListFAM"),IF($D$19&gt;0,MIN($D$19,SUMPRODUCT(($D$61:$D$70=V46)*($N$61:$N$70))),0),0)</f>
        <v>0</v>
      </c>
      <c r="W50" s="4">
        <f>IF($H$29="Employee Only",Q50,IF($D$20&gt;0,MIN($D$20,SUM(Q50:V50)),SUM(Q50:V50)))</f>
        <v>0</v>
      </c>
      <c r="Y50" s="1" t="s">
        <v>68</v>
      </c>
      <c r="Z50" s="4">
        <f>IF($F$19&gt;0,MIN($F$19,SUMPRODUCT(($D$61:$D$70=Z46)*($N$61:$N$70))),0)</f>
        <v>0</v>
      </c>
      <c r="AA50" s="4">
        <f>IF(OR($L$29="ListSP",$L$29="ListFAM"),IF($F$19&gt;0,MIN($F$19,SUMPRODUCT(($D$61:$D$70=AA46)*($N$61:$N$70))),0),0)</f>
        <v>0</v>
      </c>
      <c r="AB50" s="4">
        <f>IF(OR($L$29="ListCH",$L$29="ListFAM"),IF($F$19&gt;0,MIN($F$19,SUMPRODUCT(($D$61:$D$70=AB46)*($N$61:$N$70))),0),0)</f>
        <v>0</v>
      </c>
      <c r="AC50" s="4">
        <f>IF(OR($L$29="ListCH",$L$29="ListFAM"),IF($F$19&gt;0,MIN($F$19,SUMPRODUCT(($D$61:$D$70=AC46)*($N$61:$N$70))),0),0)</f>
        <v>0</v>
      </c>
      <c r="AD50" s="4">
        <f>IF(OR($L$29="ListCH",$L$29="ListFAM"),IF($F$19&gt;0,MIN($F$19,SUMPRODUCT(($D$61:$D$70=AD46)*($N$61:$N$70))),0),0)</f>
        <v>0</v>
      </c>
      <c r="AE50" s="4">
        <f>IF(OR($L$29="ListCH",$L$29="ListFAM"),IF($F$19&gt;0,MIN($F$19,SUMPRODUCT(($D$61:$D$70=AE46)*($N$61:$N$70))),0),0)</f>
        <v>0</v>
      </c>
      <c r="AF50" s="4">
        <f>IF($H$29="Employee Only",Z50,IF($F$20&gt;0,MIN($F$20,SUM(Z50:AE50)),SUM(Z50:AE50)))</f>
        <v>0</v>
      </c>
      <c r="AH50" s="1" t="s">
        <v>68</v>
      </c>
      <c r="AI50" s="4">
        <f>IF($H$19&gt;0,MIN($H$19,SUMPRODUCT(($D$61:$D$70=AI46)*($N$61:$N$70))),0)</f>
        <v>0</v>
      </c>
      <c r="AJ50" s="4">
        <f>IF(OR($L$29="ListSP",$L$29="ListFAM"),IF($H$19&gt;0,MIN($H$19,SUMPRODUCT(($D$61:$D$70=AJ46)*($N$61:$N$70))),0),0)</f>
        <v>0</v>
      </c>
      <c r="AK50" s="4">
        <f>IF(OR($L$29="ListCH",$L$29="ListFAM"),IF($H$19&gt;0,MIN($H$19,SUMPRODUCT(($D$61:$D$70=AK46)*($N$61:$N$70))),0),0)</f>
        <v>0</v>
      </c>
      <c r="AL50" s="4">
        <f>IF(OR($L$29="ListCH",$L$29="ListFAM"),IF($H$19&gt;0,MIN($H$19,SUMPRODUCT(($D$61:$D$70=AL46)*($N$61:$N$70))),0),0)</f>
        <v>0</v>
      </c>
      <c r="AM50" s="4">
        <f>IF(OR($L$29="ListCH",$L$29="ListFAM"),IF($H$19&gt;0,MIN($H$19,SUMPRODUCT(($D$61:$D$70=AM46)*($N$61:$N$70))),0),0)</f>
        <v>0</v>
      </c>
      <c r="AN50" s="4">
        <f>IF(OR($L$29="ListCH",$L$29="ListFAM"),IF($H$19&gt;0,MIN($H$19,SUMPRODUCT(($D$61:$D$70=AN46)*($N$61:$N$70))),0),0)</f>
        <v>0</v>
      </c>
      <c r="AO50" s="4">
        <f>IF($H$29="Employee Only",AI50,IF($H$20&gt;0,MIN($H$20,SUM(AI50:AN50)),SUM(AI50:AN50)))</f>
        <v>0</v>
      </c>
      <c r="AQ50" s="1" t="s">
        <v>68</v>
      </c>
      <c r="AR50" s="4">
        <f>IF($J$19&gt;0,MIN($J$19,SUMPRODUCT(($D$61:$D$70=AR46)*($N$61:$N$70))),0)</f>
        <v>0</v>
      </c>
      <c r="AS50" s="4">
        <f>IF(OR($L$29="ListSP",$L$29="ListFAM"),IF($J$19&gt;0,MIN($J$19,SUMPRODUCT(($D$61:$D$70=AS46)*($N$61:$N$70))),0),0)</f>
        <v>0</v>
      </c>
      <c r="AT50" s="4">
        <f>IF(OR($L$29="ListCH",$L$29="ListFAM"),IF($J$19&gt;0,MIN($J$19,SUMPRODUCT(($D$61:$D$70=AT46)*($N$61:$N$70))),0),0)</f>
        <v>0</v>
      </c>
      <c r="AU50" s="4">
        <f>IF(OR($L$29="ListCH",$L$29="ListFAM"),IF($J$19&gt;0,MIN($J$19,SUMPRODUCT(($D$61:$D$70=AU46)*($N$61:$N$70))),0),0)</f>
        <v>0</v>
      </c>
      <c r="AV50" s="4">
        <f>IF(OR($L$29="ListCH",$L$29="ListFAM"),IF($J$19&gt;0,MIN($J$19,SUMPRODUCT(($D$61:$D$70=AV46)*($N$61:$N$70))),0),0)</f>
        <v>0</v>
      </c>
      <c r="AW50" s="4">
        <f>IF(OR($L$29="ListCH",$L$29="ListFAM"),IF($J$19&gt;0,MIN($J$19,SUMPRODUCT(($D$61:$D$70=AW46)*($N$61:$N$70))),0),0)</f>
        <v>0</v>
      </c>
      <c r="AX50" s="4">
        <f>IF($H$29="Employee Only",AR50,IF($J$20&gt;0,MIN($J$20,SUM(AR50:AW50)),SUM(AR50:AW50)))</f>
        <v>0</v>
      </c>
    </row>
    <row r="51" spans="1:50" x14ac:dyDescent="0.25">
      <c r="B51" s="94"/>
      <c r="D51" s="95"/>
      <c r="F51" s="95"/>
      <c r="H51" s="95"/>
      <c r="J51" s="95"/>
      <c r="L51" s="95"/>
      <c r="N51" s="95"/>
      <c r="P51" s="1" t="s">
        <v>69</v>
      </c>
      <c r="Q51" s="4">
        <f>SUM(Q61:Q70)</f>
        <v>0</v>
      </c>
      <c r="R51" s="4">
        <f>IF(OR($L$29="ListSP",$L$29="ListFAM"),SUM(R61:R70),0)</f>
        <v>0</v>
      </c>
      <c r="S51" s="4">
        <f>IF(OR($L$29="ListCH",$L$29="ListFAM"),SUM(S61:S70),0)</f>
        <v>0</v>
      </c>
      <c r="T51" s="4">
        <f>IF(OR($L$29="ListCH",$L$29="ListFAM"),SUM(T61:T70),0)</f>
        <v>0</v>
      </c>
      <c r="U51" s="4">
        <f>IF(OR($L$29="ListCH",$L$29="ListFAM"),SUM(U61:U70),0)</f>
        <v>0</v>
      </c>
      <c r="V51" s="4">
        <f>IF(OR($L$29="ListCH",$L$29="ListFAM"),SUM(V61:V70),0)</f>
        <v>0</v>
      </c>
      <c r="W51" s="4">
        <f>SUM(Q51:V51)</f>
        <v>0</v>
      </c>
      <c r="Y51" s="1" t="s">
        <v>69</v>
      </c>
      <c r="Z51" s="4">
        <f>SUM(Z61:Z70)</f>
        <v>0</v>
      </c>
      <c r="AA51" s="4">
        <f>IF(OR($L$29="ListSP",$L$29="ListFAM"),SUM(AA61:AA70),0)</f>
        <v>0</v>
      </c>
      <c r="AB51" s="4">
        <f>IF(OR($L$29="ListCH",$L$29="ListFAM"),SUM(AB61:AB70),0)</f>
        <v>0</v>
      </c>
      <c r="AC51" s="4">
        <f>IF(OR($L$29="ListCH",$L$29="ListFAM"),SUM(AC61:AC70),0)</f>
        <v>0</v>
      </c>
      <c r="AD51" s="4">
        <f>IF(OR($L$29="ListCH",$L$29="ListFAM"),SUM(AD61:AD70),0)</f>
        <v>0</v>
      </c>
      <c r="AE51" s="4">
        <f>IF(OR($L$29="ListCH",$L$29="ListFAM"),SUM(AE61:AE70),0)</f>
        <v>0</v>
      </c>
      <c r="AF51" s="4">
        <f>SUM(Z51:AE51)</f>
        <v>0</v>
      </c>
      <c r="AH51" s="1" t="s">
        <v>69</v>
      </c>
      <c r="AI51" s="4">
        <f>SUM(AI61:AI70)</f>
        <v>0</v>
      </c>
      <c r="AJ51" s="4">
        <f>IF(OR($L$29="ListSP",$L$29="ListFAM"),SUM(AJ61:AJ70),0)</f>
        <v>0</v>
      </c>
      <c r="AK51" s="4">
        <f>IF(OR($L$29="ListCH",$L$29="ListFAM"),SUM(AK61:AK70),0)</f>
        <v>0</v>
      </c>
      <c r="AL51" s="4">
        <f>IF(OR($L$29="ListCH",$L$29="ListFAM"),SUM(AL61:AL70),0)</f>
        <v>0</v>
      </c>
      <c r="AM51" s="4">
        <f>IF(OR($L$29="ListCH",$L$29="ListFAM"),SUM(AM61:AM70),0)</f>
        <v>0</v>
      </c>
      <c r="AN51" s="4">
        <f>IF(OR($L$29="ListCH",$L$29="ListFAM"),SUM(AN61:AN70),0)</f>
        <v>0</v>
      </c>
      <c r="AO51" s="4">
        <f>SUM(AI51:AN51)</f>
        <v>0</v>
      </c>
      <c r="AQ51" s="1" t="s">
        <v>69</v>
      </c>
      <c r="AR51" s="4">
        <f>SUM(AR61:AR70)</f>
        <v>0</v>
      </c>
      <c r="AS51" s="4">
        <f>IF(OR($L$29="ListSP",$L$29="ListFAM"),SUM(AS61:AS70),0)</f>
        <v>0</v>
      </c>
      <c r="AT51" s="4">
        <f>IF(OR($L$29="ListCH",$L$29="ListFAM"),SUM(AT61:AT70),0)</f>
        <v>0</v>
      </c>
      <c r="AU51" s="4">
        <f>IF(OR($L$29="ListCH",$L$29="ListFAM"),SUM(AU61:AU70),0)</f>
        <v>0</v>
      </c>
      <c r="AV51" s="4">
        <f>IF(OR($L$29="ListCH",$L$29="ListFAM"),SUM(AV61:AV70),0)</f>
        <v>0</v>
      </c>
      <c r="AW51" s="4">
        <f>IF(OR($L$29="ListCH",$L$29="ListFAM"),SUM(AW61:AW70),0)</f>
        <v>0</v>
      </c>
      <c r="AX51" s="4">
        <f>SUM(AR51:AW51)</f>
        <v>0</v>
      </c>
    </row>
    <row r="52" spans="1:50" x14ac:dyDescent="0.25">
      <c r="B52" s="94"/>
      <c r="D52" s="95"/>
      <c r="F52" s="95"/>
      <c r="H52" s="95"/>
      <c r="J52" s="95"/>
      <c r="L52" s="95"/>
      <c r="N52" s="95"/>
    </row>
    <row r="53" spans="1:50" x14ac:dyDescent="0.25">
      <c r="B53" s="94"/>
      <c r="D53" s="95"/>
      <c r="F53" s="95"/>
      <c r="H53" s="95"/>
      <c r="J53" s="95"/>
      <c r="L53" s="95"/>
      <c r="N53" s="95"/>
      <c r="P53" s="14" t="s">
        <v>89</v>
      </c>
      <c r="Q53" s="4">
        <f>MIN($D$24,SUM(Q38:Q40,Q47,Q51))</f>
        <v>0</v>
      </c>
      <c r="R53" s="4">
        <f t="shared" ref="R53:V53" si="0">MIN($D$24,SUM(R38:R40,R47,R51))</f>
        <v>0</v>
      </c>
      <c r="S53" s="4">
        <f t="shared" si="0"/>
        <v>0</v>
      </c>
      <c r="T53" s="4">
        <f t="shared" si="0"/>
        <v>0</v>
      </c>
      <c r="U53" s="4">
        <f t="shared" si="0"/>
        <v>0</v>
      </c>
      <c r="V53" s="4">
        <f t="shared" si="0"/>
        <v>0</v>
      </c>
      <c r="W53" s="4">
        <f>IF($H$29="Employee Only",Q53,MIN($D$25,SUM(Q53:V53)))</f>
        <v>0</v>
      </c>
      <c r="Y53" s="14" t="s">
        <v>89</v>
      </c>
      <c r="Z53" s="4">
        <f>MIN($F$24,SUM(Z38:Z40,Z47,Z51))</f>
        <v>0</v>
      </c>
      <c r="AA53" s="4">
        <f t="shared" ref="AA53:AE53" si="1">MIN($F$24,SUM(AA38:AA40,AA47,AA51))</f>
        <v>0</v>
      </c>
      <c r="AB53" s="4">
        <f t="shared" si="1"/>
        <v>0</v>
      </c>
      <c r="AC53" s="4">
        <f t="shared" si="1"/>
        <v>0</v>
      </c>
      <c r="AD53" s="4">
        <f t="shared" si="1"/>
        <v>0</v>
      </c>
      <c r="AE53" s="4">
        <f t="shared" si="1"/>
        <v>0</v>
      </c>
      <c r="AF53" s="4">
        <f>IF($H$29="Employee Only",Z53,MIN($F$25,SUM(Z53:AE53)))</f>
        <v>0</v>
      </c>
      <c r="AH53" s="14" t="s">
        <v>89</v>
      </c>
      <c r="AI53" s="4">
        <f t="shared" ref="AI53:AN53" si="2">MIN($H$24,SUM(AI38:AI40,AI47,AI51))</f>
        <v>0</v>
      </c>
      <c r="AJ53" s="4">
        <f t="shared" si="2"/>
        <v>0</v>
      </c>
      <c r="AK53" s="4">
        <f t="shared" si="2"/>
        <v>0</v>
      </c>
      <c r="AL53" s="4">
        <f t="shared" si="2"/>
        <v>0</v>
      </c>
      <c r="AM53" s="4">
        <f t="shared" si="2"/>
        <v>0</v>
      </c>
      <c r="AN53" s="4">
        <f t="shared" si="2"/>
        <v>0</v>
      </c>
      <c r="AO53" s="4">
        <f>IF($H$29="Employee Only",AI53,MIN($H$25,SUM(AI53:AN53)))</f>
        <v>0</v>
      </c>
      <c r="AQ53" s="14" t="s">
        <v>89</v>
      </c>
      <c r="AR53" s="4">
        <f t="shared" ref="AR53:AW53" si="3">MIN($J$24,SUM(AR38:AR40,AR47,AR51))</f>
        <v>0</v>
      </c>
      <c r="AS53" s="4">
        <f t="shared" si="3"/>
        <v>0</v>
      </c>
      <c r="AT53" s="4">
        <f t="shared" si="3"/>
        <v>0</v>
      </c>
      <c r="AU53" s="4">
        <f t="shared" si="3"/>
        <v>0</v>
      </c>
      <c r="AV53" s="4">
        <f t="shared" si="3"/>
        <v>0</v>
      </c>
      <c r="AW53" s="4">
        <f t="shared" si="3"/>
        <v>0</v>
      </c>
      <c r="AX53" s="4">
        <f>IF($H$29="Employee Only",AR53,MIN($J$25,SUM(AR53:AW53)))</f>
        <v>0</v>
      </c>
    </row>
    <row r="54" spans="1:50" x14ac:dyDescent="0.25">
      <c r="B54" s="94"/>
      <c r="D54" s="95"/>
      <c r="F54" s="95"/>
      <c r="H54" s="95"/>
      <c r="J54" s="95"/>
      <c r="L54" s="95"/>
      <c r="N54" s="95"/>
    </row>
    <row r="56" spans="1:50" ht="17.25" x14ac:dyDescent="0.3">
      <c r="A56" s="9" t="s">
        <v>36</v>
      </c>
      <c r="B56" s="10"/>
      <c r="C56" s="10"/>
      <c r="D56" s="10"/>
      <c r="E56" s="10"/>
      <c r="F56" s="10"/>
      <c r="G56" s="10"/>
      <c r="H56" s="10"/>
      <c r="I56" s="10"/>
      <c r="J56" s="10"/>
      <c r="K56" s="10"/>
      <c r="L56" s="10"/>
      <c r="M56" s="10"/>
      <c r="N56" s="10"/>
    </row>
    <row r="57" spans="1:50" ht="3.95" customHeight="1" x14ac:dyDescent="0.25"/>
    <row r="58" spans="1:50" ht="27.95" customHeight="1" x14ac:dyDescent="0.25">
      <c r="B58" s="121" t="s">
        <v>107</v>
      </c>
      <c r="C58" s="121"/>
      <c r="D58" s="121"/>
      <c r="E58" s="121"/>
      <c r="F58" s="121"/>
      <c r="G58" s="121"/>
      <c r="H58" s="121"/>
      <c r="I58" s="121"/>
      <c r="J58" s="121"/>
      <c r="K58" s="121"/>
      <c r="L58" s="121"/>
      <c r="M58" s="121"/>
      <c r="N58" s="121"/>
    </row>
    <row r="59" spans="1:50" ht="3.95" customHeight="1" x14ac:dyDescent="0.25"/>
    <row r="60" spans="1:50" x14ac:dyDescent="0.25">
      <c r="B60" s="98" t="s">
        <v>37</v>
      </c>
      <c r="D60" s="99" t="s">
        <v>38</v>
      </c>
      <c r="E60" s="3"/>
      <c r="F60" s="99" t="s">
        <v>41</v>
      </c>
      <c r="G60" s="3"/>
      <c r="H60" s="99" t="s">
        <v>39</v>
      </c>
      <c r="I60" s="3"/>
      <c r="J60" s="99" t="s">
        <v>40</v>
      </c>
      <c r="K60" s="3"/>
      <c r="L60" s="3"/>
      <c r="M60" s="3"/>
      <c r="N60" s="3" t="s">
        <v>42</v>
      </c>
    </row>
    <row r="61" spans="1:50" x14ac:dyDescent="0.25">
      <c r="B61" s="96"/>
      <c r="D61" s="96"/>
      <c r="F61" s="96"/>
      <c r="H61" s="96"/>
      <c r="J61" s="97">
        <f t="shared" ref="J61:J70" si="4">IF(H61&lt;&gt;"",VLOOKUP(H61,RxDefaults,3,0),0)</f>
        <v>0</v>
      </c>
      <c r="N61" s="13">
        <f>F61*J61</f>
        <v>0</v>
      </c>
      <c r="Q61" s="4" t="str">
        <f>IF($D$18="Yes",0,IF($D61=Q$46,IF($H61=Rates!A33,IF($D$21&gt;1,$F61*$D$21,MIN(GenericOOP,$J61*$D$21)*$F61),IF($H61=Rates!A34,IF($D$22&gt;1,$F61*$D$22,MIN(BrandOOP,$J61*$D$22)*$F61),IF($H61=Rates!A35,IF($D$23&gt;1,$F61*$D$23,MIN(NonFormularyOOP,$J61*$D$23)*$F61),""))),""))</f>
        <v/>
      </c>
      <c r="R61" s="4" t="str">
        <f>IF($D$18="Yes",0,IF($D61=R$46,IF($H61=Rates!A33,IF($D$21&gt;1,$F61*$D$21,MIN(GenericOOP,$J61*$D$21)*$F61),IF($H61=Rates!A34,IF($D$22&gt;1,$F61*$D$22,MIN(BrandOOP,$J61*$D$22)*$F61),IF($H61=Rates!A35,IF($D$23&gt;1,$F61*$D$23,MIN(NonFormularyOOP,$J61*$D$23)*$F61),""))),""))</f>
        <v/>
      </c>
      <c r="S61" s="4" t="str">
        <f>IF($D$18="Yes",0,IF($D61=S$46,IF($H61=Rates!A33,IF($D$21&gt;1,$F61*$D$21,MIN(GenericOOP,$J61*$D$21)*$F61),IF($H61=Rates!A34,IF($D$22&gt;1,$F61*$D$22,MIN(BrandOOP,$J61*$D$22)*$F61),IF($H61=Rates!A35,IF($D$23&gt;1,$F61*$D$23,MIN(NonFormularyOOP,$J61*$D$23)*$F61),""))),""))</f>
        <v/>
      </c>
      <c r="T61" s="4" t="str">
        <f>IF($D$18="Yes",0,IF($D61=T$46,IF($H61=Rates!A33,IF($D$21&gt;1,$F61*$D$21,MIN(GenericOOP,$J61*$D$21)*$F61),IF($H61=Rates!A34,IF($D$22&gt;1,$F61*$D$22,MIN(BrandOOP,$J61*$D$22)*$F61),IF($H61=Rates!A35,IF($D$23&gt;1,$F61*$D$23,MIN(NonFormularyOOP,$J61*$D$23)*$F61),""))),""))</f>
        <v/>
      </c>
      <c r="U61" s="4" t="str">
        <f>IF($D$18="Yes",0,IF($D61=U$46,IF($H61=Rates!A33,IF($D$21&gt;1,$F61*$D$21,MIN(GenericOOP,$J61*$D$21)*$F61),IF($H61=Rates!A34,IF($D$22&gt;1,$F61*$D$22,MIN(BrandOOP,$J61*$D$22)*$F61),IF($H61=Rates!A35,IF($D$23&gt;1,$F61*$D$23,MIN(NonFormularyOOP,$J61*$D$23)*$F61),""))),""))</f>
        <v/>
      </c>
      <c r="V61" s="4" t="str">
        <f>IF($D$18="Yes",0,IF($D61=V$46,IF($H61=Rates!A33,IF($D$21&gt;1,$F61*$D$21,MIN(GenericOOP,$J61*$D$21)*$F61),IF($H61=Rates!A34,IF($D$22&gt;1,$F61*$D$22,MIN(BrandOOP,$J61*$D$22)*$F61),IF($H61=Rates!A35,IF($D$23&gt;1,$F61*$D$23,MIN(NonFormularyOOP,$J61*$D$23)*$F61),""))),""))</f>
        <v/>
      </c>
      <c r="Z61" s="4" t="str">
        <f>IF($F$18="Yes",0,IF($D61=Z$46,IF($H61=Rates!A33,IF($F$21&gt;1,$F61*$F$21,MIN(GenericOOP,$J61*$F$21)*$F61),IF($H61=Rates!A34,IF($F$22&gt;1,$F61*$F$22,MIN(BrandOOP,$J61*$F$22)*$F61),IF($H61=Rates!A35,IF($F$23&gt;1,$F61*$F$23,MIN(NonFormularyOOP,$J61*$F$23)*$F61),""))),""))</f>
        <v/>
      </c>
      <c r="AA61" s="4" t="str">
        <f>IF($F$18="Yes",0,IF($D61=AA$46,IF($H61=Rates!A33,IF($F$21&gt;1,$F61*$F$21,MIN(GenericOOP,$J61*$F$21)*$F61),IF($H61=Rates!A34,IF($F$22&gt;1,$F61*$F$22,MIN(BrandOOP,$J61*$F$22)*$F61),IF($H61=Rates!A35,IF($F$23&gt;1,$F61*$F$23,MIN(NonFormularyOOP,$J61*$F$23)*$F61),""))),""))</f>
        <v/>
      </c>
      <c r="AB61" s="4" t="str">
        <f>IF($F$18="Yes",0,IF($D61=AB$46,IF($H61=Rates!A33,IF($F$21&gt;1,$F61*$F$21,MIN(GenericOOP,$J61*$F$21)*$F61),IF($H61=Rates!A34,IF($F$22&gt;1,$F61*$F$22,MIN(BrandOOP,$J61*$F$22)*$F61),IF($H61=Rates!A35,IF($F$23&gt;1,$F61*$F$23,MIN(NonFormularyOOP,$J61*$F$23)*$F61),""))),""))</f>
        <v/>
      </c>
      <c r="AC61" s="4" t="str">
        <f>IF($F$18="Yes",0,IF($D61=AC$46,IF($H61=Rates!A33,IF($F$21&gt;1,$F61*$F$21,MIN(GenericOOP,$J61*$F$21)*$F61),IF($H61=Rates!A34,IF($F$22&gt;1,$F61*$F$22,MIN(BrandOOP,$J61*$F$22)*$F61),IF($H61=Rates!A35,IF($F$23&gt;1,$F61*$F$23,MIN(NonFormularyOOP,$J61*$F$23)*$F61),""))),""))</f>
        <v/>
      </c>
      <c r="AD61" s="4" t="str">
        <f>IF($F$18="Yes",0,IF($D61=AD$46,IF($H61=Rates!A33,IF($F$21&gt;1,$F61*$F$21,MIN(GenericOOP,$J61*$F$21)*$F61),IF($H61=Rates!A34,IF($F$22&gt;1,$F61*$F$22,MIN(BrandOOP,$J61*$F$22)*$F61),IF($H61=Rates!A35,IF($F$23&gt;1,$F61*$F$23,MIN(NonFormularyOOP,$J61*$F$23)*$F61),""))),""))</f>
        <v/>
      </c>
      <c r="AE61" s="4" t="str">
        <f>IF($F$18="Yes",0,IF($D61=AE$46,IF($H61=Rates!A33,IF($F$21&gt;1,$F61*$F$21,MIN(GenericOOP,$J61*$F$21)*$F61),IF($H61=Rates!A34,IF($F$22&gt;1,$F61*$F$22,MIN(BrandOOP,$J61*$F$22)*$F61),IF($H61=Rates!A35,IF($F$23&gt;1,$F61*$F$23,MIN(NonFormularyOOP,$J61*$F$23)*$F61),""))),""))</f>
        <v/>
      </c>
      <c r="AI61" s="4">
        <f>IF(OR(AI$48&gt;=$H$6,$AO$48&gt;=$H$7),
    IF($D61=AI$46,
      IF($H61=Rates!$A$33,IF($H$21&gt;1,$F61*$H$21,MIN(GenericOOP,$J61*$H$21)*$F61),
      IF($H61=Rates!$A$34,IF($H$22&gt;1,$F61*$H$22,MIN(BrandOOP,$J61*$H$22)*$F61),
      IF($H61=Rates!$A$35,IF($H$23&gt;1,$F61*$H$23,MIN(NonFormularyOOP,$J61*$H$23)*$F61),
      ""))),
    ""),
  0)</f>
        <v>0</v>
      </c>
      <c r="AJ61" s="4">
        <f>IF(OR(AJ$48&gt;=$H$6,$AO$48&gt;=$H$7),
    IF($D61=AJ$46,
      IF($H61=Rates!$A$33,IF($H$21&gt;1,$F61*$H$21,MIN(GenericOOP,$J61*$H$21)*$F61),
      IF($H61=Rates!$A$34,IF($H$22&gt;1,$F61*$H$22,MIN(BrandOOP,$J61*$H$22)*$F61),
      IF($H61=Rates!$A$35,IF($H$23&gt;1,$F61*$H$23,MIN(NonFormularyOOP,$J61*$H$23)*$F61),
      ""))),
    ""),
  0)</f>
        <v>0</v>
      </c>
      <c r="AK61" s="4">
        <f>IF(OR(AK$48&gt;=$H$6,$AO$48&gt;=$H$7),
    IF($D61=AK$46,
      IF($H61=Rates!$A$33,IF($H$21&gt;1,$F61*$H$21,MIN(GenericOOP,$J61*$H$21)*$F61),
      IF($H61=Rates!$A$34,IF($H$22&gt;1,$F61*$H$22,MIN(BrandOOP,$J61*$H$22)*$F61),
      IF($H61=Rates!$A$35,IF($H$23&gt;1,$F61*$H$23,MIN(NonFormularyOOP,$J61*$H$23)*$F61),
      ""))),
    ""),
  0)</f>
        <v>0</v>
      </c>
      <c r="AL61" s="4">
        <f>IF(OR(AL$48&gt;=$H$6,$AO$48&gt;=$H$7),
    IF($D61=AL$46,
      IF($H61=Rates!$A$33,IF($H$21&gt;1,$F61*$H$21,MIN(GenericOOP,$J61*$H$21)*$F61),
      IF($H61=Rates!$A$34,IF($H$22&gt;1,$F61*$H$22,MIN(BrandOOP,$J61*$H$22)*$F61),
      IF($H61=Rates!$A$35,IF($H$23&gt;1,$F61*$H$23,MIN(NonFormularyOOP,$J61*$H$23)*$F61),
      ""))),
    ""),
  0)</f>
        <v>0</v>
      </c>
      <c r="AM61" s="4">
        <f>IF(OR(AM$48&gt;=$H$6,$AO$48&gt;=$H$7),
    IF($D61=AM$46,
      IF($H61=Rates!$A$33,IF($H$21&gt;1,$F61*$H$21,MIN(GenericOOP,$J61*$H$21)*$F61),
      IF($H61=Rates!$A$34,IF($H$22&gt;1,$F61*$H$22,MIN(BrandOOP,$J61*$H$22)*$F61),
      IF($H61=Rates!$A$35,IF($H$23&gt;1,$F61*$H$23,MIN(NonFormularyOOP,$J61*$H$23)*$F61),
      ""))),
    ""),
  0)</f>
        <v>0</v>
      </c>
      <c r="AN61" s="4">
        <f>IF(OR(AN$48&gt;=$H$6,$AO$48&gt;=$H$7),
    IF($D61=AN$46,
      IF($H61=Rates!$A$33,IF($H$21&gt;1,$F61*$H$21,MIN(GenericOOP,$J61*$H$21)*$F61),
      IF($H61=Rates!$A$34,IF($H$22&gt;1,$F61*$H$22,MIN(BrandOOP,$J61*$H$22)*$F61),
      IF($H61=Rates!$A$35,IF($H$23&gt;1,$F61*$H$23,MIN(NonFormularyOOP,$J61*$H$23)*$F61),
      ""))),
    ""),
  0)</f>
        <v>0</v>
      </c>
      <c r="AR61" s="4">
        <f>IF(OR(AR$48&gt;=$J$6,$AW$48&gt;=$J$7),
    IF($D61=AR$46,
      IF($H61=Rates!$A$33,IF($J$21&gt;1,$F61*$J$21,MIN(GenericOOP,$J61*$J$21)*$F61),
      IF($H61=Rates!$A$34,IF($J$22&gt;1,$F61*$J$22,MIN(BrandOOP,$J61*$J$22)*$F61),
      IF($H61=Rates!$A$35,IF($J$23&gt;1,$F61*$J$23,MIN(NonFormularyOOP,$J61*$J$23)*$F61),
      ""))),
    ""),
  0)</f>
        <v>0</v>
      </c>
      <c r="AS61" s="4">
        <f>IF(OR(AS$48&gt;=$J$6,$AW$48&gt;=$J$7),
    IF($D61=AS$46,
      IF($H61=Rates!$A$33,IF($J$21&gt;1,$F61*$J$21,MIN(GenericOOP,$J61*$J$21)*$F61),
      IF($H61=Rates!$A$34,IF($J$22&gt;1,$F61*$J$22,MIN(BrandOOP,$J61*$J$22)*$F61),
      IF($H61=Rates!$A$35,IF($J$23&gt;1,$F61*$J$23,MIN(NonFormularyOOP,$J61*$J$23)*$F61),
      ""))),
    ""),
  0)</f>
        <v>0</v>
      </c>
      <c r="AT61" s="4">
        <f>IF(OR(AT$48&gt;=$J$6,$AW$48&gt;=$J$7),
    IF($D61=AT$46,
      IF($H61=Rates!$A$33,IF($J$21&gt;1,$F61*$J$21,MIN(GenericOOP,$J61*$J$21)*$F61),
      IF($H61=Rates!$A$34,IF($J$22&gt;1,$F61*$J$22,MIN(BrandOOP,$J61*$J$22)*$F61),
      IF($H61=Rates!$A$35,IF($J$23&gt;1,$F61*$J$23,MIN(NonFormularyOOP,$J61*$J$23)*$F61),
      ""))),
    ""),
  0)</f>
        <v>0</v>
      </c>
      <c r="AU61" s="4">
        <f>IF(OR(AU$48&gt;=$J$6,$AW$48&gt;=$J$7),
    IF($D61=AU$46,
      IF($H61=Rates!$A$33,IF($J$21&gt;1,$F61*$J$21,MIN(GenericOOP,$J61*$J$21)*$F61),
      IF($H61=Rates!$A$34,IF($J$22&gt;1,$F61*$J$22,MIN(BrandOOP,$J61*$J$22)*$F61),
      IF($H61=Rates!$A$35,IF($J$23&gt;1,$F61*$J$23,MIN(NonFormularyOOP,$J61*$J$23)*$F61),
      ""))),
    ""),
  0)</f>
        <v>0</v>
      </c>
      <c r="AV61" s="4">
        <f>IF(OR(AV$48&gt;=$J$6,$AW$48&gt;=$J$7),
    IF($D61=AV$46,
      IF($H61=Rates!$A$33,IF($J$21&gt;1,$F61*$J$21,MIN(GenericOOP,$J61*$J$21)*$F61),
      IF($H61=Rates!$A$34,IF($J$22&gt;1,$F61*$J$22,MIN(BrandOOP,$J61*$J$22)*$F61),
      IF($H61=Rates!$A$35,IF($J$23&gt;1,$F61*$J$23,MIN(NonFormularyOOP,$J61*$J$23)*$F61),
      ""))),
    ""),
  0)</f>
        <v>0</v>
      </c>
      <c r="AW61" s="4">
        <f>IF(OR(AW$48&gt;=$J$6,$AW$48&gt;=$J$7),
    IF($D61=AW$46,
      IF($H61=Rates!$A$33,IF($J$21&gt;1,$F61*$J$21,MIN(GenericOOP,$J61*$J$21)*$F61),
      IF($H61=Rates!$A$34,IF($J$22&gt;1,$F61*$J$22,MIN(BrandOOP,$J61*$J$22)*$F61),
      IF($H61=Rates!$A$35,IF($J$23&gt;1,$F61*$J$23,MIN(NonFormularyOOP,$J61*$J$23)*$F61),
      ""))),
    ""),
  0)</f>
        <v>0</v>
      </c>
    </row>
    <row r="62" spans="1:50" x14ac:dyDescent="0.25">
      <c r="B62" s="96"/>
      <c r="D62" s="96"/>
      <c r="F62" s="96"/>
      <c r="H62" s="96"/>
      <c r="J62" s="97">
        <f t="shared" si="4"/>
        <v>0</v>
      </c>
      <c r="N62" s="13">
        <f t="shared" ref="N62:N70" si="5">F62*J62</f>
        <v>0</v>
      </c>
      <c r="Q62" s="4" t="str">
        <f>IF($D$18="Yes",0,IF($D62=Q$46,IF($H62=Rates!A33,IF($D$21&gt;1,$F62*$D$21,MIN(GenericOOP,$J62*$D$21)*$F62),IF($H62=Rates!A34,IF($D$22&gt;1,$F62*$D$22,MIN(BrandOOP,$J62*$D$22)*$F62),IF($H62=Rates!A35,IF($D$23&gt;1,$F62*$D$23,MIN(NonFormularyOOP,$J62*$D$23)*$F62),""))),""))</f>
        <v/>
      </c>
      <c r="R62" s="4" t="str">
        <f>IF($D$18="Yes",0,IF($D62=R$46,IF($H62=Rates!A33,IF($D$21&gt;1,$F62*$D$21,MIN(GenericOOP,$J62*$D$21)*$F62),IF($H62=Rates!A34,IF($D$22&gt;1,$F62*$D$22,MIN(BrandOOP,$J62*$D$22)*$F62),IF($H62=Rates!A35,IF($D$23&gt;1,$F62*$D$23,MIN(NonFormularyOOP,$J62*$D$23)*$F62),""))),""))</f>
        <v/>
      </c>
      <c r="S62" s="4" t="str">
        <f>IF($D$18="Yes",0,IF($D62=S$46,IF($H62=Rates!A33,IF($D$21&gt;1,$F62*$D$21,MIN(GenericOOP,$J62*$D$21)*$F62),IF($H62=Rates!A34,IF($D$22&gt;1,$F62*$D$22,MIN(BrandOOP,$J62*$D$22)*$F62),IF($H62=Rates!A35,IF($D$23&gt;1,$F62*$D$23,MIN(NonFormularyOOP,$J62*$D$23)*$F62),""))),""))</f>
        <v/>
      </c>
      <c r="T62" s="4" t="str">
        <f>IF($D$18="Yes",0,IF($D62=T$46,IF($H62=Rates!A33,IF($D$21&gt;1,$F62*$D$21,MIN(GenericOOP,$J62*$D$21)*$F62),IF($H62=Rates!A34,IF($D$22&gt;1,$F62*$D$22,MIN(BrandOOP,$J62*$D$22)*$F62),IF($H62=Rates!A35,IF($D$23&gt;1,$F62*$D$23,MIN(NonFormularyOOP,$J62*$D$23)*$F62),""))),""))</f>
        <v/>
      </c>
      <c r="U62" s="4" t="str">
        <f>IF($D$18="Yes",0,IF($D62=U$46,IF($H62=Rates!A33,IF($D$21&gt;1,$F62*$D$21,MIN(GenericOOP,$J62*$D$21)*$F62),IF($H62=Rates!A34,IF($D$22&gt;1,$F62*$D$22,MIN(BrandOOP,$J62*$D$22)*$F62),IF($H62=Rates!A35,IF($D$23&gt;1,$F62*$D$23,MIN(NonFormularyOOP,$J62*$D$23)*$F62),""))),""))</f>
        <v/>
      </c>
      <c r="V62" s="4" t="str">
        <f>IF($D$18="Yes",0,IF($D62=V$46,IF($H62=Rates!A33,IF($D$21&gt;1,$F62*$D$21,MIN(GenericOOP,$J62*$D$21)*$F62),IF($H62=Rates!A34,IF($D$22&gt;1,$F62*$D$22,MIN(BrandOOP,$J62*$D$22)*$F62),IF($H62=Rates!A35,IF($D$23&gt;1,$F62*$D$23,MIN(NonFormularyOOP,$J62*$D$23)*$F62),""))),""))</f>
        <v/>
      </c>
      <c r="Z62" s="4" t="str">
        <f>IF($F$18="Yes",0,IF($D62=Z$46,IF($H62=Rates!A33,IF($F$21&gt;1,$F62*$F$21,MIN(GenericOOP,$J62*$F$21)*$F62),IF($H62=Rates!A34,IF($F$22&gt;1,$F62*$F$22,MIN(BrandOOP,$J62*$F$22)*$F62),IF($H62=Rates!A35,IF($F$23&gt;1,$F62*$F$23,MIN(NonFormularyOOP,$J62*$F$23)*$F62),""))),""))</f>
        <v/>
      </c>
      <c r="AA62" s="4" t="str">
        <f>IF($F$18="Yes",0,IF($D62=AA$46,IF($H62=Rates!A33,IF($F$21&gt;1,$F62*$F$21,MIN(GenericOOP,$J62*$F$21)*$F62),IF($H62=Rates!A34,IF($F$22&gt;1,$F62*$F$22,MIN(BrandOOP,$J62*$F$22)*$F62),IF($H62=Rates!A35,IF($F$23&gt;1,$F62*$F$23,MIN(NonFormularyOOP,$J62*$F$23)*$F62),""))),""))</f>
        <v/>
      </c>
      <c r="AB62" s="4" t="str">
        <f>IF($F$18="Yes",0,IF($D62=AB$46,IF($H62=Rates!A33,IF($F$21&gt;1,$F62*$F$21,MIN(GenericOOP,$J62*$F$21)*$F62),IF($H62=Rates!A34,IF($F$22&gt;1,$F62*$F$22,MIN(BrandOOP,$J62*$F$22)*$F62),IF($H62=Rates!A35,IF($F$23&gt;1,$F62*$F$23,MIN(NonFormularyOOP,$J62*$F$23)*$F62),""))),""))</f>
        <v/>
      </c>
      <c r="AC62" s="4" t="str">
        <f>IF($F$18="Yes",0,IF($D62=AC$46,IF($H62=Rates!A33,IF($F$21&gt;1,$F62*$F$21,MIN(GenericOOP,$J62*$F$21)*$F62),IF($H62=Rates!A34,IF($F$22&gt;1,$F62*$F$22,MIN(BrandOOP,$J62*$F$22)*$F62),IF($H62=Rates!A35,IF($F$23&gt;1,$F62*$F$23,MIN(NonFormularyOOP,$J62*$F$23)*$F62),""))),""))</f>
        <v/>
      </c>
      <c r="AD62" s="4" t="str">
        <f>IF($F$18="Yes",0,IF($D62=AD$46,IF($H62=Rates!A33,IF($F$21&gt;1,$F62*$F$21,MIN(GenericOOP,$J62*$F$21)*$F62),IF($H62=Rates!A34,IF($F$22&gt;1,$F62*$F$22,MIN(BrandOOP,$J62*$F$22)*$F62),IF($H62=Rates!A35,IF($F$23&gt;1,$F62*$F$23,MIN(NonFormularyOOP,$J62*$F$23)*$F62),""))),""))</f>
        <v/>
      </c>
      <c r="AE62" s="4" t="str">
        <f>IF($F$18="Yes",0,IF($D62=AE$46,IF($H62=Rates!A33,IF($F$21&gt;1,$F62*$F$21,MIN(GenericOOP,$J62*$F$21)*$F62),IF($H62=Rates!A34,IF($F$22&gt;1,$F62*$F$22,MIN(BrandOOP,$J62*$F$22)*$F62),IF($H62=Rates!A35,IF($F$23&gt;1,$F62*$F$23,MIN(NonFormularyOOP,$J62*$F$23)*$F62),""))),""))</f>
        <v/>
      </c>
      <c r="AI62" s="4">
        <f>IF(OR(AI$48&gt;=$H$6,$AO$48&gt;=$H$7),
    IF($D62=AI$46,
      IF($H62=Rates!$A$33,IF($H$21&gt;1,$F62*$H$21,MIN(GenericOOP,$J62*$H$21)*$F62),
      IF($H62=Rates!$A$34,IF($H$22&gt;1,$F62*$H$22,MIN(BrandOOP,$J62*$H$22)*$F62),
      IF($H62=Rates!$A$35,IF($H$23&gt;1,$F62*$H$23,MIN(NonFormularyOOP,$J62*$H$23)*$F62),
      ""))),
    ""),
  0)</f>
        <v>0</v>
      </c>
      <c r="AJ62" s="4">
        <f>IF(OR(AJ$48&gt;=$H$6,$AO$48&gt;=$H$7),
    IF($D62=AJ$46,
      IF($H62=Rates!$A$33,IF($H$21&gt;1,$F62*$H$21,MIN(GenericOOP,$J62*$H$21)*$F62),
      IF($H62=Rates!$A$34,IF($H$22&gt;1,$F62*$H$22,MIN(BrandOOP,$J62*$H$22)*$F62),
      IF($H62=Rates!$A$35,IF($H$23&gt;1,$F62*$H$23,MIN(NonFormularyOOP,$J62*$H$23)*$F62),
      ""))),
    ""),
  0)</f>
        <v>0</v>
      </c>
      <c r="AK62" s="4">
        <f>IF(OR(AK$48&gt;=$H$6,$AO$48&gt;=$H$7),
    IF($D62=AK$46,
      IF($H62=Rates!$A$33,IF($H$21&gt;1,$F62*$H$21,MIN(GenericOOP,$J62*$H$21)*$F62),
      IF($H62=Rates!$A$34,IF($H$22&gt;1,$F62*$H$22,MIN(BrandOOP,$J62*$H$22)*$F62),
      IF($H62=Rates!$A$35,IF($H$23&gt;1,$F62*$H$23,MIN(NonFormularyOOP,$J62*$H$23)*$F62),
      ""))),
    ""),
  0)</f>
        <v>0</v>
      </c>
      <c r="AL62" s="4">
        <f>IF(OR(AL$48&gt;=$H$6,$AO$48&gt;=$H$7),
    IF($D62=AL$46,
      IF($H62=Rates!$A$33,IF($H$21&gt;1,$F62*$H$21,MIN(GenericOOP,$J62*$H$21)*$F62),
      IF($H62=Rates!$A$34,IF($H$22&gt;1,$F62*$H$22,MIN(BrandOOP,$J62*$H$22)*$F62),
      IF($H62=Rates!$A$35,IF($H$23&gt;1,$F62*$H$23,MIN(NonFormularyOOP,$J62*$H$23)*$F62),
      ""))),
    ""),
  0)</f>
        <v>0</v>
      </c>
      <c r="AM62" s="4">
        <f>IF(OR(AM$48&gt;=$H$6,$AO$48&gt;=$H$7),
    IF($D62=AM$46,
      IF($H62=Rates!$A$33,IF($H$21&gt;1,$F62*$H$21,MIN(GenericOOP,$J62*$H$21)*$F62),
      IF($H62=Rates!$A$34,IF($H$22&gt;1,$F62*$H$22,MIN(BrandOOP,$J62*$H$22)*$F62),
      IF($H62=Rates!$A$35,IF($H$23&gt;1,$F62*$H$23,MIN(NonFormularyOOP,$J62*$H$23)*$F62),
      ""))),
    ""),
  0)</f>
        <v>0</v>
      </c>
      <c r="AN62" s="4">
        <f>IF(OR(AN$48&gt;=$H$6,$AO$48&gt;=$H$7),
    IF($D62=AN$46,
      IF($H62=Rates!$A$33,IF($H$21&gt;1,$F62*$H$21,MIN(GenericOOP,$J62*$H$21)*$F62),
      IF($H62=Rates!$A$34,IF($H$22&gt;1,$F62*$H$22,MIN(BrandOOP,$J62*$H$22)*$F62),
      IF($H62=Rates!$A$35,IF($H$23&gt;1,$F62*$H$23,MIN(NonFormularyOOP,$J62*$H$23)*$F62),
      ""))),
    ""),
  0)</f>
        <v>0</v>
      </c>
      <c r="AR62" s="4">
        <f>IF(OR(AR$48&gt;=$J$6,$AW$48&gt;=$J$7),
    IF($D62=AR$46,
      IF($H62=Rates!$A$33,IF($J$21&gt;1,$F62*$J$21,MIN(GenericOOP,$J62*$J$21)*$F62),
      IF($H62=Rates!$A$34,IF($J$22&gt;1,$F62*$J$22,MIN(BrandOOP,$J62*$J$22)*$F62),
      IF($H62=Rates!$A$35,IF($J$23&gt;1,$F62*$J$23,MIN(NonFormularyOOP,$J62*$J$23)*$F62),
      ""))),
    ""),
  0)</f>
        <v>0</v>
      </c>
      <c r="AS62" s="4">
        <f>IF(OR(AS$48&gt;=$J$6,$AW$48&gt;=$J$7),
    IF($D62=AS$46,
      IF($H62=Rates!$A$33,IF($J$21&gt;1,$F62*$J$21,MIN(GenericOOP,$J62*$J$21)*$F62),
      IF($H62=Rates!$A$34,IF($J$22&gt;1,$F62*$J$22,MIN(BrandOOP,$J62*$J$22)*$F62),
      IF($H62=Rates!$A$35,IF($J$23&gt;1,$F62*$J$23,MIN(NonFormularyOOP,$J62*$J$23)*$F62),
      ""))),
    ""),
  0)</f>
        <v>0</v>
      </c>
      <c r="AT62" s="4">
        <f>IF(OR(AT$48&gt;=$J$6,$AW$48&gt;=$J$7),
    IF($D62=AT$46,
      IF($H62=Rates!$A$33,IF($J$21&gt;1,$F62*$J$21,MIN(GenericOOP,$J62*$J$21)*$F62),
      IF($H62=Rates!$A$34,IF($J$22&gt;1,$F62*$J$22,MIN(BrandOOP,$J62*$J$22)*$F62),
      IF($H62=Rates!$A$35,IF($J$23&gt;1,$F62*$J$23,MIN(NonFormularyOOP,$J62*$J$23)*$F62),
      ""))),
    ""),
  0)</f>
        <v>0</v>
      </c>
      <c r="AU62" s="4">
        <f>IF(OR(AU$48&gt;=$J$6,$AW$48&gt;=$J$7),
    IF($D62=AU$46,
      IF($H62=Rates!$A$33,IF($J$21&gt;1,$F62*$J$21,MIN(GenericOOP,$J62*$J$21)*$F62),
      IF($H62=Rates!$A$34,IF($J$22&gt;1,$F62*$J$22,MIN(BrandOOP,$J62*$J$22)*$F62),
      IF($H62=Rates!$A$35,IF($J$23&gt;1,$F62*$J$23,MIN(NonFormularyOOP,$J62*$J$23)*$F62),
      ""))),
    ""),
  0)</f>
        <v>0</v>
      </c>
      <c r="AV62" s="4">
        <f>IF(OR(AV$48&gt;=$J$6,$AW$48&gt;=$J$7),
    IF($D62=AV$46,
      IF($H62=Rates!$A$33,IF($J$21&gt;1,$F62*$J$21,MIN(GenericOOP,$J62*$J$21)*$F62),
      IF($H62=Rates!$A$34,IF($J$22&gt;1,$F62*$J$22,MIN(BrandOOP,$J62*$J$22)*$F62),
      IF($H62=Rates!$A$35,IF($J$23&gt;1,$F62*$J$23,MIN(NonFormularyOOP,$J62*$J$23)*$F62),
      ""))),
    ""),
  0)</f>
        <v>0</v>
      </c>
      <c r="AW62" s="4">
        <f>IF(OR(AW$48&gt;=$J$6,$AW$48&gt;=$J$7),
    IF($D62=AW$46,
      IF($H62=Rates!$A$33,IF($J$21&gt;1,$F62*$J$21,MIN(GenericOOP,$J62*$J$21)*$F62),
      IF($H62=Rates!$A$34,IF($J$22&gt;1,$F62*$J$22,MIN(BrandOOP,$J62*$J$22)*$F62),
      IF($H62=Rates!$A$35,IF($J$23&gt;1,$F62*$J$23,MIN(NonFormularyOOP,$J62*$J$23)*$F62),
      ""))),
    ""),
  0)</f>
        <v>0</v>
      </c>
    </row>
    <row r="63" spans="1:50" x14ac:dyDescent="0.25">
      <c r="B63" s="96"/>
      <c r="D63" s="96"/>
      <c r="F63" s="96"/>
      <c r="H63" s="96"/>
      <c r="J63" s="97">
        <f t="shared" si="4"/>
        <v>0</v>
      </c>
      <c r="N63" s="13">
        <f t="shared" si="5"/>
        <v>0</v>
      </c>
      <c r="Q63" s="4" t="str">
        <f>IF($D$18="Yes",0,IF($D63=Q$46,IF($H63=Rates!A33,IF($D$21&gt;1,$F63*$D$21,MIN(GenericOOP,$J63*$D$21)*$F63),IF($H63=Rates!A34,IF($D$22&gt;1,$F63*$D$22,MIN(BrandOOP,$J63*$D$22)*$F63),IF($H63=Rates!A35,IF($D$23&gt;1,$F63*$D$23,MIN(NonFormularyOOP,$J63*$D$23)*$F63),""))),""))</f>
        <v/>
      </c>
      <c r="R63" s="4" t="str">
        <f>IF($D$18="Yes",0,IF($D63=R$46,IF($H63=Rates!A33,IF($D$21&gt;1,$F63*$D$21,MIN(GenericOOP,$J63*$D$21)*$F63),IF($H63=Rates!A34,IF($D$22&gt;1,$F63*$D$22,MIN(BrandOOP,$J63*$D$22)*$F63),IF($H63=Rates!A35,IF($D$23&gt;1,$F63*$D$23,MIN(NonFormularyOOP,$J63*$D$23)*$F63),""))),""))</f>
        <v/>
      </c>
      <c r="S63" s="4" t="str">
        <f>IF($D$18="Yes",0,IF($D63=S$46,IF($H63=Rates!A33,IF($D$21&gt;1,$F63*$D$21,MIN(GenericOOP,$J63*$D$21)*$F63),IF($H63=Rates!A34,IF($D$22&gt;1,$F63*$D$22,MIN(BrandOOP,$J63*$D$22)*$F63),IF($H63=Rates!A35,IF($D$23&gt;1,$F63*$D$23,MIN(NonFormularyOOP,$J63*$D$23)*$F63),""))),""))</f>
        <v/>
      </c>
      <c r="T63" s="4" t="str">
        <f>IF($D$18="Yes",0,IF($D63=T$46,IF($H63=Rates!A33,IF($D$21&gt;1,$F63*$D$21,MIN(GenericOOP,$J63*$D$21)*$F63),IF($H63=Rates!A34,IF($D$22&gt;1,$F63*$D$22,MIN(BrandOOP,$J63*$D$22)*$F63),IF($H63=Rates!A35,IF($D$23&gt;1,$F63*$D$23,MIN(NonFormularyOOP,$J63*$D$23)*$F63),""))),""))</f>
        <v/>
      </c>
      <c r="U63" s="4" t="str">
        <f>IF($D$18="Yes",0,IF($D63=U$46,IF($H63=Rates!A33,IF($D$21&gt;1,$F63*$D$21,MIN(GenericOOP,$J63*$D$21)*$F63),IF($H63=Rates!A34,IF($D$22&gt;1,$F63*$D$22,MIN(BrandOOP,$J63*$D$22)*$F63),IF($H63=Rates!A35,IF($D$23&gt;1,$F63*$D$23,MIN(NonFormularyOOP,$J63*$D$23)*$F63),""))),""))</f>
        <v/>
      </c>
      <c r="V63" s="4" t="str">
        <f>IF($D$18="Yes",0,IF($D63=V$46,IF($H63=Rates!A33,IF($D$21&gt;1,$F63*$D$21,MIN(GenericOOP,$J63*$D$21)*$F63),IF($H63=Rates!A34,IF($D$22&gt;1,$F63*$D$22,MIN(BrandOOP,$J63*$D$22)*$F63),IF($H63=Rates!A35,IF($D$23&gt;1,$F63*$D$23,MIN(NonFormularyOOP,$J63*$D$23)*$F63),""))),""))</f>
        <v/>
      </c>
      <c r="Z63" s="4" t="str">
        <f>IF($F$18="Yes",0,IF($D63=Z$46,IF($H63=Rates!A33,IF($F$21&gt;1,$F63*$F$21,MIN(GenericOOP,$J63*$F$21)*$F63),IF($H63=Rates!A34,IF($F$22&gt;1,$F63*$F$22,MIN(BrandOOP,$J63*$F$22)*$F63),IF($H63=Rates!A35,IF($F$23&gt;1,$F63*$F$23,MIN(NonFormularyOOP,$J63*$F$23)*$F63),""))),""))</f>
        <v/>
      </c>
      <c r="AA63" s="4" t="str">
        <f>IF($F$18="Yes",0,IF($D63=AA$46,IF($H63=Rates!A33,IF($F$21&gt;1,$F63*$F$21,MIN(GenericOOP,$J63*$F$21)*$F63),IF($H63=Rates!A34,IF($F$22&gt;1,$F63*$F$22,MIN(BrandOOP,$J63*$F$22)*$F63),IF($H63=Rates!A35,IF($F$23&gt;1,$F63*$F$23,MIN(NonFormularyOOP,$J63*$F$23)*$F63),""))),""))</f>
        <v/>
      </c>
      <c r="AB63" s="4" t="str">
        <f>IF($F$18="Yes",0,IF($D63=AB$46,IF($H63=Rates!A33,IF($F$21&gt;1,$F63*$F$21,MIN(GenericOOP,$J63*$F$21)*$F63),IF($H63=Rates!A34,IF($F$22&gt;1,$F63*$F$22,MIN(BrandOOP,$J63*$F$22)*$F63),IF($H63=Rates!A35,IF($F$23&gt;1,$F63*$F$23,MIN(NonFormularyOOP,$J63*$F$23)*$F63),""))),""))</f>
        <v/>
      </c>
      <c r="AC63" s="4" t="str">
        <f>IF($F$18="Yes",0,IF($D63=AC$46,IF($H63=Rates!A33,IF($F$21&gt;1,$F63*$F$21,MIN(GenericOOP,$J63*$F$21)*$F63),IF($H63=Rates!A34,IF($F$22&gt;1,$F63*$F$22,MIN(BrandOOP,$J63*$F$22)*$F63),IF($H63=Rates!A35,IF($F$23&gt;1,$F63*$F$23,MIN(NonFormularyOOP,$J63*$F$23)*$F63),""))),""))</f>
        <v/>
      </c>
      <c r="AD63" s="4" t="str">
        <f>IF($F$18="Yes",0,IF($D63=AD$46,IF($H63=Rates!A33,IF($F$21&gt;1,$F63*$F$21,MIN(GenericOOP,$J63*$F$21)*$F63),IF($H63=Rates!A34,IF($F$22&gt;1,$F63*$F$22,MIN(BrandOOP,$J63*$F$22)*$F63),IF($H63=Rates!A35,IF($F$23&gt;1,$F63*$F$23,MIN(NonFormularyOOP,$J63*$F$23)*$F63),""))),""))</f>
        <v/>
      </c>
      <c r="AE63" s="4" t="str">
        <f>IF($F$18="Yes",0,IF($D63=AE$46,IF($H63=Rates!A33,IF($F$21&gt;1,$F63*$F$21,MIN(GenericOOP,$J63*$F$21)*$F63),IF($H63=Rates!A34,IF($F$22&gt;1,$F63*$F$22,MIN(BrandOOP,$J63*$F$22)*$F63),IF($H63=Rates!A35,IF($F$23&gt;1,$F63*$F$23,MIN(NonFormularyOOP,$J63*$F$23)*$F63),""))),""))</f>
        <v/>
      </c>
      <c r="AI63" s="4">
        <f>IF(OR(AI$48&gt;=$H$6,$AO$48&gt;=$H$7),
    IF($D63=AI$46,
      IF($H63=Rates!$A$33,IF($H$21&gt;1,$F63*$H$21,MIN(GenericOOP,$J63*$H$21)*$F63),
      IF($H63=Rates!$A$34,IF($H$22&gt;1,$F63*$H$22,MIN(BrandOOP,$J63*$H$22)*$F63),
      IF($H63=Rates!$A$35,IF($H$23&gt;1,$F63*$H$23,MIN(NonFormularyOOP,$J63*$H$23)*$F63),
      ""))),
    ""),
  0)</f>
        <v>0</v>
      </c>
      <c r="AJ63" s="4">
        <f>IF(OR(AJ$48&gt;=$H$6,$AO$48&gt;=$H$7),
    IF($D63=AJ$46,
      IF($H63=Rates!$A$33,IF($H$21&gt;1,$F63*$H$21,MIN(GenericOOP,$J63*$H$21)*$F63),
      IF($H63=Rates!$A$34,IF($H$22&gt;1,$F63*$H$22,MIN(BrandOOP,$J63*$H$22)*$F63),
      IF($H63=Rates!$A$35,IF($H$23&gt;1,$F63*$H$23,MIN(NonFormularyOOP,$J63*$H$23)*$F63),
      ""))),
    ""),
  0)</f>
        <v>0</v>
      </c>
      <c r="AK63" s="4">
        <f>IF(OR(AK$48&gt;=$H$6,$AO$48&gt;=$H$7),
    IF($D63=AK$46,
      IF($H63=Rates!$A$33,IF($H$21&gt;1,$F63*$H$21,MIN(GenericOOP,$J63*$H$21)*$F63),
      IF($H63=Rates!$A$34,IF($H$22&gt;1,$F63*$H$22,MIN(BrandOOP,$J63*$H$22)*$F63),
      IF($H63=Rates!$A$35,IF($H$23&gt;1,$F63*$H$23,MIN(NonFormularyOOP,$J63*$H$23)*$F63),
      ""))),
    ""),
  0)</f>
        <v>0</v>
      </c>
      <c r="AL63" s="4">
        <f>IF(OR(AL$48&gt;=$H$6,$AO$48&gt;=$H$7),
    IF($D63=AL$46,
      IF($H63=Rates!$A$33,IF($H$21&gt;1,$F63*$H$21,MIN(GenericOOP,$J63*$H$21)*$F63),
      IF($H63=Rates!$A$34,IF($H$22&gt;1,$F63*$H$22,MIN(BrandOOP,$J63*$H$22)*$F63),
      IF($H63=Rates!$A$35,IF($H$23&gt;1,$F63*$H$23,MIN(NonFormularyOOP,$J63*$H$23)*$F63),
      ""))),
    ""),
  0)</f>
        <v>0</v>
      </c>
      <c r="AM63" s="4">
        <f>IF(OR(AM$48&gt;=$H$6,$AO$48&gt;=$H$7),
    IF($D63=AM$46,
      IF($H63=Rates!$A$33,IF($H$21&gt;1,$F63*$H$21,MIN(GenericOOP,$J63*$H$21)*$F63),
      IF($H63=Rates!$A$34,IF($H$22&gt;1,$F63*$H$22,MIN(BrandOOP,$J63*$H$22)*$F63),
      IF($H63=Rates!$A$35,IF($H$23&gt;1,$F63*$H$23,MIN(NonFormularyOOP,$J63*$H$23)*$F63),
      ""))),
    ""),
  0)</f>
        <v>0</v>
      </c>
      <c r="AN63" s="4">
        <f>IF(OR(AN$48&gt;=$H$6,$AO$48&gt;=$H$7),
    IF($D63=AN$46,
      IF($H63=Rates!$A$33,IF($H$21&gt;1,$F63*$H$21,MIN(GenericOOP,$J63*$H$21)*$F63),
      IF($H63=Rates!$A$34,IF($H$22&gt;1,$F63*$H$22,MIN(BrandOOP,$J63*$H$22)*$F63),
      IF($H63=Rates!$A$35,IF($H$23&gt;1,$F63*$H$23,MIN(NonFormularyOOP,$J63*$H$23)*$F63),
      ""))),
    ""),
  0)</f>
        <v>0</v>
      </c>
      <c r="AR63" s="4">
        <f>IF(OR(AR$48&gt;=$J$6,$AW$48&gt;=$J$7),
    IF($D63=AR$46,
      IF($H63=Rates!$A$33,IF($J$21&gt;1,$F63*$J$21,MIN(GenericOOP,$J63*$J$21)*$F63),
      IF($H63=Rates!$A$34,IF($J$22&gt;1,$F63*$J$22,MIN(BrandOOP,$J63*$J$22)*$F63),
      IF($H63=Rates!$A$35,IF($J$23&gt;1,$F63*$J$23,MIN(NonFormularyOOP,$J63*$J$23)*$F63),
      ""))),
    ""),
  0)</f>
        <v>0</v>
      </c>
      <c r="AS63" s="4">
        <f>IF(OR(AS$48&gt;=$J$6,$AW$48&gt;=$J$7),
    IF($D63=AS$46,
      IF($H63=Rates!$A$33,IF($J$21&gt;1,$F63*$J$21,MIN(GenericOOP,$J63*$J$21)*$F63),
      IF($H63=Rates!$A$34,IF($J$22&gt;1,$F63*$J$22,MIN(BrandOOP,$J63*$J$22)*$F63),
      IF($H63=Rates!$A$35,IF($J$23&gt;1,$F63*$J$23,MIN(NonFormularyOOP,$J63*$J$23)*$F63),
      ""))),
    ""),
  0)</f>
        <v>0</v>
      </c>
      <c r="AT63" s="4">
        <f>IF(OR(AT$48&gt;=$J$6,$AW$48&gt;=$J$7),
    IF($D63=AT$46,
      IF($H63=Rates!$A$33,IF($J$21&gt;1,$F63*$J$21,MIN(GenericOOP,$J63*$J$21)*$F63),
      IF($H63=Rates!$A$34,IF($J$22&gt;1,$F63*$J$22,MIN(BrandOOP,$J63*$J$22)*$F63),
      IF($H63=Rates!$A$35,IF($J$23&gt;1,$F63*$J$23,MIN(NonFormularyOOP,$J63*$J$23)*$F63),
      ""))),
    ""),
  0)</f>
        <v>0</v>
      </c>
      <c r="AU63" s="4">
        <f>IF(OR(AU$48&gt;=$J$6,$AW$48&gt;=$J$7),
    IF($D63=AU$46,
      IF($H63=Rates!$A$33,IF($J$21&gt;1,$F63*$J$21,MIN(GenericOOP,$J63*$J$21)*$F63),
      IF($H63=Rates!$A$34,IF($J$22&gt;1,$F63*$J$22,MIN(BrandOOP,$J63*$J$22)*$F63),
      IF($H63=Rates!$A$35,IF($J$23&gt;1,$F63*$J$23,MIN(NonFormularyOOP,$J63*$J$23)*$F63),
      ""))),
    ""),
  0)</f>
        <v>0</v>
      </c>
      <c r="AV63" s="4">
        <f>IF(OR(AV$48&gt;=$J$6,$AW$48&gt;=$J$7),
    IF($D63=AV$46,
      IF($H63=Rates!$A$33,IF($J$21&gt;1,$F63*$J$21,MIN(GenericOOP,$J63*$J$21)*$F63),
      IF($H63=Rates!$A$34,IF($J$22&gt;1,$F63*$J$22,MIN(BrandOOP,$J63*$J$22)*$F63),
      IF($H63=Rates!$A$35,IF($J$23&gt;1,$F63*$J$23,MIN(NonFormularyOOP,$J63*$J$23)*$F63),
      ""))),
    ""),
  0)</f>
        <v>0</v>
      </c>
      <c r="AW63" s="4">
        <f>IF(OR(AW$48&gt;=$J$6,$AW$48&gt;=$J$7),
    IF($D63=AW$46,
      IF($H63=Rates!$A$33,IF($J$21&gt;1,$F63*$J$21,MIN(GenericOOP,$J63*$J$21)*$F63),
      IF($H63=Rates!$A$34,IF($J$22&gt;1,$F63*$J$22,MIN(BrandOOP,$J63*$J$22)*$F63),
      IF($H63=Rates!$A$35,IF($J$23&gt;1,$F63*$J$23,MIN(NonFormularyOOP,$J63*$J$23)*$F63),
      ""))),
    ""),
  0)</f>
        <v>0</v>
      </c>
    </row>
    <row r="64" spans="1:50" x14ac:dyDescent="0.25">
      <c r="B64" s="96"/>
      <c r="D64" s="96"/>
      <c r="F64" s="96"/>
      <c r="H64" s="96"/>
      <c r="J64" s="97">
        <f t="shared" si="4"/>
        <v>0</v>
      </c>
      <c r="N64" s="13">
        <f t="shared" si="5"/>
        <v>0</v>
      </c>
      <c r="Q64" s="4" t="str">
        <f>IF($D$18="Yes",0,IF($D64=Q$46,IF($H64=Rates!A33,IF($D$21&gt;1,$F64*$D$21,MIN(GenericOOP,$J64*$D$21)*$F64),IF($H64=Rates!A34,IF($D$22&gt;1,$F64*$D$22,MIN(BrandOOP,$J64*$D$22)*$F64),IF($H64=Rates!A35,IF($D$23&gt;1,$F64*$D$23,MIN(NonFormularyOOP,$J64*$D$23)*$F64),""))),""))</f>
        <v/>
      </c>
      <c r="R64" s="4" t="str">
        <f>IF($D$18="Yes",0,IF($D64=R$46,IF($H64=Rates!A33,IF($D$21&gt;1,$F64*$D$21,MIN(GenericOOP,$J64*$D$21)*$F64),IF($H64=Rates!A34,IF($D$22&gt;1,$F64*$D$22,MIN(BrandOOP,$J64*$D$22)*$F64),IF($H64=Rates!A35,IF($D$23&gt;1,$F64*$D$23,MIN(NonFormularyOOP,$J64*$D$23)*$F64),""))),""))</f>
        <v/>
      </c>
      <c r="S64" s="4" t="str">
        <f>IF($D$18="Yes",0,IF($D64=S$46,IF($H64=Rates!A33,IF($D$21&gt;1,$F64*$D$21,MIN(GenericOOP,$J64*$D$21)*$F64),IF($H64=Rates!A34,IF($D$22&gt;1,$F64*$D$22,MIN(BrandOOP,$J64*$D$22)*$F64),IF($H64=Rates!A35,IF($D$23&gt;1,$F64*$D$23,MIN(NonFormularyOOP,$J64*$D$23)*$F64),""))),""))</f>
        <v/>
      </c>
      <c r="T64" s="4" t="str">
        <f>IF($D$18="Yes",0,IF($D64=T$46,IF($H64=Rates!A33,IF($D$21&gt;1,$F64*$D$21,MIN(GenericOOP,$J64*$D$21)*$F64),IF($H64=Rates!A34,IF($D$22&gt;1,$F64*$D$22,MIN(BrandOOP,$J64*$D$22)*$F64),IF($H64=Rates!A35,IF($D$23&gt;1,$F64*$D$23,MIN(NonFormularyOOP,$J64*$D$23)*$F64),""))),""))</f>
        <v/>
      </c>
      <c r="U64" s="4" t="str">
        <f>IF($D$18="Yes",0,IF($D64=U$46,IF($H64=Rates!A33,IF($D$21&gt;1,$F64*$D$21,MIN(GenericOOP,$J64*$D$21)*$F64),IF($H64=Rates!A34,IF($D$22&gt;1,$F64*$D$22,MIN(BrandOOP,$J64*$D$22)*$F64),IF($H64=Rates!A35,IF($D$23&gt;1,$F64*$D$23,MIN(NonFormularyOOP,$J64*$D$23)*$F64),""))),""))</f>
        <v/>
      </c>
      <c r="V64" s="4" t="str">
        <f>IF($D$18="Yes",0,IF($D64=V$46,IF($H64=Rates!A33,IF($D$21&gt;1,$F64*$D$21,MIN(GenericOOP,$J64*$D$21)*$F64),IF($H64=Rates!A34,IF($D$22&gt;1,$F64*$D$22,MIN(BrandOOP,$J64*$D$22)*$F64),IF($H64=Rates!A35,IF($D$23&gt;1,$F64*$D$23,MIN(NonFormularyOOP,$J64*$D$23)*$F64),""))),""))</f>
        <v/>
      </c>
      <c r="Z64" s="4" t="str">
        <f>IF($F$18="Yes",0,IF($D64=Z$46,IF($H64=Rates!A33,IF($F$21&gt;1,$F64*$F$21,MIN(GenericOOP,$J64*$F$21)*$F64),IF($H64=Rates!A34,IF($F$22&gt;1,$F64*$F$22,MIN(BrandOOP,$J64*$F$22)*$F64),IF($H64=Rates!A35,IF($F$23&gt;1,$F64*$F$23,MIN(NonFormularyOOP,$J64*$F$23)*$F64),""))),""))</f>
        <v/>
      </c>
      <c r="AA64" s="4" t="str">
        <f>IF($F$18="Yes",0,IF($D64=AA$46,IF($H64=Rates!A33,IF($F$21&gt;1,$F64*$F$21,MIN(GenericOOP,$J64*$F$21)*$F64),IF($H64=Rates!A34,IF($F$22&gt;1,$F64*$F$22,MIN(BrandOOP,$J64*$F$22)*$F64),IF($H64=Rates!A35,IF($F$23&gt;1,$F64*$F$23,MIN(NonFormularyOOP,$J64*$F$23)*$F64),""))),""))</f>
        <v/>
      </c>
      <c r="AB64" s="4" t="str">
        <f>IF($F$18="Yes",0,IF($D64=AB$46,IF($H64=Rates!A33,IF($F$21&gt;1,$F64*$F$21,MIN(GenericOOP,$J64*$F$21)*$F64),IF($H64=Rates!A34,IF($F$22&gt;1,$F64*$F$22,MIN(BrandOOP,$J64*$F$22)*$F64),IF($H64=Rates!A35,IF($F$23&gt;1,$F64*$F$23,MIN(NonFormularyOOP,$J64*$F$23)*$F64),""))),""))</f>
        <v/>
      </c>
      <c r="AC64" s="4" t="str">
        <f>IF($F$18="Yes",0,IF($D64=AC$46,IF($H64=Rates!A33,IF($F$21&gt;1,$F64*$F$21,MIN(GenericOOP,$J64*$F$21)*$F64),IF($H64=Rates!A34,IF($F$22&gt;1,$F64*$F$22,MIN(BrandOOP,$J64*$F$22)*$F64),IF($H64=Rates!A35,IF($F$23&gt;1,$F64*$F$23,MIN(NonFormularyOOP,$J64*$F$23)*$F64),""))),""))</f>
        <v/>
      </c>
      <c r="AD64" s="4" t="str">
        <f>IF($F$18="Yes",0,IF($D64=AD$46,IF($H64=Rates!A33,IF($F$21&gt;1,$F64*$F$21,MIN(GenericOOP,$J64*$F$21)*$F64),IF($H64=Rates!A34,IF($F$22&gt;1,$F64*$F$22,MIN(BrandOOP,$J64*$F$22)*$F64),IF($H64=Rates!A35,IF($F$23&gt;1,$F64*$F$23,MIN(NonFormularyOOP,$J64*$F$23)*$F64),""))),""))</f>
        <v/>
      </c>
      <c r="AE64" s="4" t="str">
        <f>IF($F$18="Yes",0,IF($D64=AE$46,IF($H64=Rates!A33,IF($F$21&gt;1,$F64*$F$21,MIN(GenericOOP,$J64*$F$21)*$F64),IF($H64=Rates!A34,IF($F$22&gt;1,$F64*$F$22,MIN(BrandOOP,$J64*$F$22)*$F64),IF($H64=Rates!A35,IF($F$23&gt;1,$F64*$F$23,MIN(NonFormularyOOP,$J64*$F$23)*$F64),""))),""))</f>
        <v/>
      </c>
      <c r="AI64" s="4">
        <f>IF(OR(AI$48&gt;=$H$6,$AO$48&gt;=$H$7),
    IF($D64=AI$46,
      IF($H64=Rates!$A$33,IF($H$21&gt;1,$F64*$H$21,MIN(GenericOOP,$J64*$H$21)*$F64),
      IF($H64=Rates!$A$34,IF($H$22&gt;1,$F64*$H$22,MIN(BrandOOP,$J64*$H$22)*$F64),
      IF($H64=Rates!$A$35,IF($H$23&gt;1,$F64*$H$23,MIN(NonFormularyOOP,$J64*$H$23)*$F64),
      ""))),
    ""),
  0)</f>
        <v>0</v>
      </c>
      <c r="AJ64" s="4">
        <f>IF(OR(AJ$48&gt;=$H$6,$AO$48&gt;=$H$7),
    IF($D64=AJ$46,
      IF($H64=Rates!$A$33,IF($H$21&gt;1,$F64*$H$21,MIN(GenericOOP,$J64*$H$21)*$F64),
      IF($H64=Rates!$A$34,IF($H$22&gt;1,$F64*$H$22,MIN(BrandOOP,$J64*$H$22)*$F64),
      IF($H64=Rates!$A$35,IF($H$23&gt;1,$F64*$H$23,MIN(NonFormularyOOP,$J64*$H$23)*$F64),
      ""))),
    ""),
  0)</f>
        <v>0</v>
      </c>
      <c r="AK64" s="4">
        <f>IF(OR(AK$48&gt;=$H$6,$AO$48&gt;=$H$7),
    IF($D64=AK$46,
      IF($H64=Rates!$A$33,IF($H$21&gt;1,$F64*$H$21,MIN(GenericOOP,$J64*$H$21)*$F64),
      IF($H64=Rates!$A$34,IF($H$22&gt;1,$F64*$H$22,MIN(BrandOOP,$J64*$H$22)*$F64),
      IF($H64=Rates!$A$35,IF($H$23&gt;1,$F64*$H$23,MIN(NonFormularyOOP,$J64*$H$23)*$F64),
      ""))),
    ""),
  0)</f>
        <v>0</v>
      </c>
      <c r="AL64" s="4">
        <f>IF(OR(AL$48&gt;=$H$6,$AO$48&gt;=$H$7),
    IF($D64=AL$46,
      IF($H64=Rates!$A$33,IF($H$21&gt;1,$F64*$H$21,MIN(GenericOOP,$J64*$H$21)*$F64),
      IF($H64=Rates!$A$34,IF($H$22&gt;1,$F64*$H$22,MIN(BrandOOP,$J64*$H$22)*$F64),
      IF($H64=Rates!$A$35,IF($H$23&gt;1,$F64*$H$23,MIN(NonFormularyOOP,$J64*$H$23)*$F64),
      ""))),
    ""),
  0)</f>
        <v>0</v>
      </c>
      <c r="AM64" s="4">
        <f>IF(OR(AM$48&gt;=$H$6,$AO$48&gt;=$H$7),
    IF($D64=AM$46,
      IF($H64=Rates!$A$33,IF($H$21&gt;1,$F64*$H$21,MIN(GenericOOP,$J64*$H$21)*$F64),
      IF($H64=Rates!$A$34,IF($H$22&gt;1,$F64*$H$22,MIN(BrandOOP,$J64*$H$22)*$F64),
      IF($H64=Rates!$A$35,IF($H$23&gt;1,$F64*$H$23,MIN(NonFormularyOOP,$J64*$H$23)*$F64),
      ""))),
    ""),
  0)</f>
        <v>0</v>
      </c>
      <c r="AN64" s="4">
        <f>IF(OR(AN$48&gt;=$H$6,$AO$48&gt;=$H$7),
    IF($D64=AN$46,
      IF($H64=Rates!$A$33,IF($H$21&gt;1,$F64*$H$21,MIN(GenericOOP,$J64*$H$21)*$F64),
      IF($H64=Rates!$A$34,IF($H$22&gt;1,$F64*$H$22,MIN(BrandOOP,$J64*$H$22)*$F64),
      IF($H64=Rates!$A$35,IF($H$23&gt;1,$F64*$H$23,MIN(NonFormularyOOP,$J64*$H$23)*$F64),
      ""))),
    ""),
  0)</f>
        <v>0</v>
      </c>
      <c r="AR64" s="4">
        <f>IF(OR(AR$48&gt;=$J$6,$AW$48&gt;=$J$7),
    IF($D64=AR$46,
      IF($H64=Rates!$A$33,IF($J$21&gt;1,$F64*$J$21,MIN(GenericOOP,$J64*$J$21)*$F64),
      IF($H64=Rates!$A$34,IF($J$22&gt;1,$F64*$J$22,MIN(BrandOOP,$J64*$J$22)*$F64),
      IF($H64=Rates!$A$35,IF($J$23&gt;1,$F64*$J$23,MIN(NonFormularyOOP,$J64*$J$23)*$F64),
      ""))),
    ""),
  0)</f>
        <v>0</v>
      </c>
      <c r="AS64" s="4">
        <f>IF(OR(AS$48&gt;=$J$6,$AW$48&gt;=$J$7),
    IF($D64=AS$46,
      IF($H64=Rates!$A$33,IF($J$21&gt;1,$F64*$J$21,MIN(GenericOOP,$J64*$J$21)*$F64),
      IF($H64=Rates!$A$34,IF($J$22&gt;1,$F64*$J$22,MIN(BrandOOP,$J64*$J$22)*$F64),
      IF($H64=Rates!$A$35,IF($J$23&gt;1,$F64*$J$23,MIN(NonFormularyOOP,$J64*$J$23)*$F64),
      ""))),
    ""),
  0)</f>
        <v>0</v>
      </c>
      <c r="AT64" s="4">
        <f>IF(OR(AT$48&gt;=$J$6,$AW$48&gt;=$J$7),
    IF($D64=AT$46,
      IF($H64=Rates!$A$33,IF($J$21&gt;1,$F64*$J$21,MIN(GenericOOP,$J64*$J$21)*$F64),
      IF($H64=Rates!$A$34,IF($J$22&gt;1,$F64*$J$22,MIN(BrandOOP,$J64*$J$22)*$F64),
      IF($H64=Rates!$A$35,IF($J$23&gt;1,$F64*$J$23,MIN(NonFormularyOOP,$J64*$J$23)*$F64),
      ""))),
    ""),
  0)</f>
        <v>0</v>
      </c>
      <c r="AU64" s="4">
        <f>IF(OR(AU$48&gt;=$J$6,$AW$48&gt;=$J$7),
    IF($D64=AU$46,
      IF($H64=Rates!$A$33,IF($J$21&gt;1,$F64*$J$21,MIN(GenericOOP,$J64*$J$21)*$F64),
      IF($H64=Rates!$A$34,IF($J$22&gt;1,$F64*$J$22,MIN(BrandOOP,$J64*$J$22)*$F64),
      IF($H64=Rates!$A$35,IF($J$23&gt;1,$F64*$J$23,MIN(NonFormularyOOP,$J64*$J$23)*$F64),
      ""))),
    ""),
  0)</f>
        <v>0</v>
      </c>
      <c r="AV64" s="4">
        <f>IF(OR(AV$48&gt;=$J$6,$AW$48&gt;=$J$7),
    IF($D64=AV$46,
      IF($H64=Rates!$A$33,IF($J$21&gt;1,$F64*$J$21,MIN(GenericOOP,$J64*$J$21)*$F64),
      IF($H64=Rates!$A$34,IF($J$22&gt;1,$F64*$J$22,MIN(BrandOOP,$J64*$J$22)*$F64),
      IF($H64=Rates!$A$35,IF($J$23&gt;1,$F64*$J$23,MIN(NonFormularyOOP,$J64*$J$23)*$F64),
      ""))),
    ""),
  0)</f>
        <v>0</v>
      </c>
      <c r="AW64" s="4">
        <f>IF(OR(AW$48&gt;=$J$6,$AW$48&gt;=$J$7),
    IF($D64=AW$46,
      IF($H64=Rates!$A$33,IF($J$21&gt;1,$F64*$J$21,MIN(GenericOOP,$J64*$J$21)*$F64),
      IF($H64=Rates!$A$34,IF($J$22&gt;1,$F64*$J$22,MIN(BrandOOP,$J64*$J$22)*$F64),
      IF($H64=Rates!$A$35,IF($J$23&gt;1,$F64*$J$23,MIN(NonFormularyOOP,$J64*$J$23)*$F64),
      ""))),
    ""),
  0)</f>
        <v>0</v>
      </c>
    </row>
    <row r="65" spans="1:49" x14ac:dyDescent="0.25">
      <c r="B65" s="96"/>
      <c r="D65" s="96"/>
      <c r="F65" s="96"/>
      <c r="H65" s="96"/>
      <c r="J65" s="97">
        <f t="shared" si="4"/>
        <v>0</v>
      </c>
      <c r="N65" s="13">
        <f t="shared" si="5"/>
        <v>0</v>
      </c>
      <c r="Q65" s="4" t="str">
        <f>IF($D$18="Yes",0,IF($D65=Q$46,IF($H65=Rates!A33,IF($D$21&gt;1,$F65*$D$21,MIN(GenericOOP,$J65*$D$21)*$F65),IF($H65=Rates!A34,IF($D$22&gt;1,$F65*$D$22,MIN(BrandOOP,$J65*$D$22)*$F65),IF($H65=Rates!A35,IF($D$23&gt;1,$F65*$D$23,MIN(NonFormularyOOP,$J65*$D$23)*$F65),""))),""))</f>
        <v/>
      </c>
      <c r="R65" s="4" t="str">
        <f>IF($D$18="Yes",0,IF($D65=R$46,IF($H65=Rates!A33,IF($D$21&gt;1,$F65*$D$21,MIN(GenericOOP,$J65*$D$21)*$F65),IF($H65=Rates!A34,IF($D$22&gt;1,$F65*$D$22,MIN(BrandOOP,$J65*$D$22)*$F65),IF($H65=Rates!A35,IF($D$23&gt;1,$F65*$D$23,MIN(NonFormularyOOP,$J65*$D$23)*$F65),""))),""))</f>
        <v/>
      </c>
      <c r="S65" s="4" t="str">
        <f>IF($D$18="Yes",0,IF($D65=S$46,IF($H65=Rates!A33,IF($D$21&gt;1,$F65*$D$21,MIN(GenericOOP,$J65*$D$21)*$F65),IF($H65=Rates!A34,IF($D$22&gt;1,$F65*$D$22,MIN(BrandOOP,$J65*$D$22)*$F65),IF($H65=Rates!A35,IF($D$23&gt;1,$F65*$D$23,MIN(NonFormularyOOP,$J65*$D$23)*$F65),""))),""))</f>
        <v/>
      </c>
      <c r="T65" s="4" t="str">
        <f>IF($D$18="Yes",0,IF($D65=T$46,IF($H65=Rates!A33,IF($D$21&gt;1,$F65*$D$21,MIN(GenericOOP,$J65*$D$21)*$F65),IF($H65=Rates!A34,IF($D$22&gt;1,$F65*$D$22,MIN(BrandOOP,$J65*$D$22)*$F65),IF($H65=Rates!A35,IF($D$23&gt;1,$F65*$D$23,MIN(NonFormularyOOP,$J65*$D$23)*$F65),""))),""))</f>
        <v/>
      </c>
      <c r="U65" s="4" t="str">
        <f>IF($D$18="Yes",0,IF($D65=U$46,IF($H65=Rates!A33,IF($D$21&gt;1,$F65*$D$21,MIN(GenericOOP,$J65*$D$21)*$F65),IF($H65=Rates!A34,IF($D$22&gt;1,$F65*$D$22,MIN(BrandOOP,$J65*$D$22)*$F65),IF($H65=Rates!A35,IF($D$23&gt;1,$F65*$D$23,MIN(NonFormularyOOP,$J65*$D$23)*$F65),""))),""))</f>
        <v/>
      </c>
      <c r="V65" s="4" t="str">
        <f>IF($D$18="Yes",0,IF($D65=V$46,IF($H65=Rates!A33,IF($D$21&gt;1,$F65*$D$21,MIN(GenericOOP,$J65*$D$21)*$F65),IF($H65=Rates!A34,IF($D$22&gt;1,$F65*$D$22,MIN(BrandOOP,$J65*$D$22)*$F65),IF($H65=Rates!A35,IF($D$23&gt;1,$F65*$D$23,MIN(NonFormularyOOP,$J65*$D$23)*$F65),""))),""))</f>
        <v/>
      </c>
      <c r="Z65" s="4" t="str">
        <f>IF($F$18="Yes",0,IF($D65=Z$46,IF($H65=Rates!A33,IF($F$21&gt;1,$F65*$F$21,MIN(GenericOOP,$J65*$F$21)*$F65),IF($H65=Rates!A34,IF($F$22&gt;1,$F65*$F$22,MIN(BrandOOP,$J65*$F$22)*$F65),IF($H65=Rates!A35,IF($F$23&gt;1,$F65*$F$23,MIN(NonFormularyOOP,$J65*$F$23)*$F65),""))),""))</f>
        <v/>
      </c>
      <c r="AA65" s="4" t="str">
        <f>IF($F$18="Yes",0,IF($D65=AA$46,IF($H65=Rates!A33,IF($F$21&gt;1,$F65*$F$21,MIN(GenericOOP,$J65*$F$21)*$F65),IF($H65=Rates!A34,IF($F$22&gt;1,$F65*$F$22,MIN(BrandOOP,$J65*$F$22)*$F65),IF($H65=Rates!A35,IF($F$23&gt;1,$F65*$F$23,MIN(NonFormularyOOP,$J65*$F$23)*$F65),""))),""))</f>
        <v/>
      </c>
      <c r="AB65" s="4" t="str">
        <f>IF($F$18="Yes",0,IF($D65=AB$46,IF($H65=Rates!A33,IF($F$21&gt;1,$F65*$F$21,MIN(GenericOOP,$J65*$F$21)*$F65),IF($H65=Rates!A34,IF($F$22&gt;1,$F65*$F$22,MIN(BrandOOP,$J65*$F$22)*$F65),IF($H65=Rates!A35,IF($F$23&gt;1,$F65*$F$23,MIN(NonFormularyOOP,$J65*$F$23)*$F65),""))),""))</f>
        <v/>
      </c>
      <c r="AC65" s="4" t="str">
        <f>IF($F$18="Yes",0,IF($D65=AC$46,IF($H65=Rates!A33,IF($F$21&gt;1,$F65*$F$21,MIN(GenericOOP,$J65*$F$21)*$F65),IF($H65=Rates!A34,IF($F$22&gt;1,$F65*$F$22,MIN(BrandOOP,$J65*$F$22)*$F65),IF($H65=Rates!A35,IF($F$23&gt;1,$F65*$F$23,MIN(NonFormularyOOP,$J65*$F$23)*$F65),""))),""))</f>
        <v/>
      </c>
      <c r="AD65" s="4" t="str">
        <f>IF($F$18="Yes",0,IF($D65=AD$46,IF($H65=Rates!A33,IF($F$21&gt;1,$F65*$F$21,MIN(GenericOOP,$J65*$F$21)*$F65),IF($H65=Rates!A34,IF($F$22&gt;1,$F65*$F$22,MIN(BrandOOP,$J65*$F$22)*$F65),IF($H65=Rates!A35,IF($F$23&gt;1,$F65*$F$23,MIN(NonFormularyOOP,$J65*$F$23)*$F65),""))),""))</f>
        <v/>
      </c>
      <c r="AE65" s="4" t="str">
        <f>IF($F$18="Yes",0,IF($D65=AE$46,IF($H65=Rates!A33,IF($F$21&gt;1,$F65*$F$21,MIN(GenericOOP,$J65*$F$21)*$F65),IF($H65=Rates!A34,IF($F$22&gt;1,$F65*$F$22,MIN(BrandOOP,$J65*$F$22)*$F65),IF($H65=Rates!A35,IF($F$23&gt;1,$F65*$F$23,MIN(NonFormularyOOP,$J65*$F$23)*$F65),""))),""))</f>
        <v/>
      </c>
      <c r="AI65" s="4">
        <f>IF(OR(AI$48&gt;=$H$6,$AO$48&gt;=$H$7),
    IF($D65=AI$46,
      IF($H65=Rates!$A$33,IF($H$21&gt;1,$F65*$H$21,MIN(GenericOOP,$J65*$H$21)*$F65),
      IF($H65=Rates!$A$34,IF($H$22&gt;1,$F65*$H$22,MIN(BrandOOP,$J65*$H$22)*$F65),
      IF($H65=Rates!$A$35,IF($H$23&gt;1,$F65*$H$23,MIN(NonFormularyOOP,$J65*$H$23)*$F65),
      ""))),
    ""),
  0)</f>
        <v>0</v>
      </c>
      <c r="AJ65" s="4">
        <f>IF(OR(AJ$48&gt;=$H$6,$AO$48&gt;=$H$7),
    IF($D65=AJ$46,
      IF($H65=Rates!$A$33,IF($H$21&gt;1,$F65*$H$21,MIN(GenericOOP,$J65*$H$21)*$F65),
      IF($H65=Rates!$A$34,IF($H$22&gt;1,$F65*$H$22,MIN(BrandOOP,$J65*$H$22)*$F65),
      IF($H65=Rates!$A$35,IF($H$23&gt;1,$F65*$H$23,MIN(NonFormularyOOP,$J65*$H$23)*$F65),
      ""))),
    ""),
  0)</f>
        <v>0</v>
      </c>
      <c r="AK65" s="4">
        <f>IF(OR(AK$48&gt;=$H$6,$AO$48&gt;=$H$7),
    IF($D65=AK$46,
      IF($H65=Rates!$A$33,IF($H$21&gt;1,$F65*$H$21,MIN(GenericOOP,$J65*$H$21)*$F65),
      IF($H65=Rates!$A$34,IF($H$22&gt;1,$F65*$H$22,MIN(BrandOOP,$J65*$H$22)*$F65),
      IF($H65=Rates!$A$35,IF($H$23&gt;1,$F65*$H$23,MIN(NonFormularyOOP,$J65*$H$23)*$F65),
      ""))),
    ""),
  0)</f>
        <v>0</v>
      </c>
      <c r="AL65" s="4">
        <f>IF(OR(AL$48&gt;=$H$6,$AO$48&gt;=$H$7),
    IF($D65=AL$46,
      IF($H65=Rates!$A$33,IF($H$21&gt;1,$F65*$H$21,MIN(GenericOOP,$J65*$H$21)*$F65),
      IF($H65=Rates!$A$34,IF($H$22&gt;1,$F65*$H$22,MIN(BrandOOP,$J65*$H$22)*$F65),
      IF($H65=Rates!$A$35,IF($H$23&gt;1,$F65*$H$23,MIN(NonFormularyOOP,$J65*$H$23)*$F65),
      ""))),
    ""),
  0)</f>
        <v>0</v>
      </c>
      <c r="AM65" s="4">
        <f>IF(OR(AM$48&gt;=$H$6,$AO$48&gt;=$H$7),
    IF($D65=AM$46,
      IF($H65=Rates!$A$33,IF($H$21&gt;1,$F65*$H$21,MIN(GenericOOP,$J65*$H$21)*$F65),
      IF($H65=Rates!$A$34,IF($H$22&gt;1,$F65*$H$22,MIN(BrandOOP,$J65*$H$22)*$F65),
      IF($H65=Rates!$A$35,IF($H$23&gt;1,$F65*$H$23,MIN(NonFormularyOOP,$J65*$H$23)*$F65),
      ""))),
    ""),
  0)</f>
        <v>0</v>
      </c>
      <c r="AN65" s="4">
        <f>IF(OR(AN$48&gt;=$H$6,$AO$48&gt;=$H$7),
    IF($D65=AN$46,
      IF($H65=Rates!$A$33,IF($H$21&gt;1,$F65*$H$21,MIN(GenericOOP,$J65*$H$21)*$F65),
      IF($H65=Rates!$A$34,IF($H$22&gt;1,$F65*$H$22,MIN(BrandOOP,$J65*$H$22)*$F65),
      IF($H65=Rates!$A$35,IF($H$23&gt;1,$F65*$H$23,MIN(NonFormularyOOP,$J65*$H$23)*$F65),
      ""))),
    ""),
  0)</f>
        <v>0</v>
      </c>
      <c r="AR65" s="4">
        <f>IF(OR(AR$48&gt;=$J$6,$AW$48&gt;=$J$7),
    IF($D65=AR$46,
      IF($H65=Rates!$A$33,IF($J$21&gt;1,$F65*$J$21,MIN(GenericOOP,$J65*$J$21)*$F65),
      IF($H65=Rates!$A$34,IF($J$22&gt;1,$F65*$J$22,MIN(BrandOOP,$J65*$J$22)*$F65),
      IF($H65=Rates!$A$35,IF($J$23&gt;1,$F65*$J$23,MIN(NonFormularyOOP,$J65*$J$23)*$F65),
      ""))),
    ""),
  0)</f>
        <v>0</v>
      </c>
      <c r="AS65" s="4">
        <f>IF(OR(AS$48&gt;=$J$6,$AW$48&gt;=$J$7),
    IF($D65=AS$46,
      IF($H65=Rates!$A$33,IF($J$21&gt;1,$F65*$J$21,MIN(GenericOOP,$J65*$J$21)*$F65),
      IF($H65=Rates!$A$34,IF($J$22&gt;1,$F65*$J$22,MIN(BrandOOP,$J65*$J$22)*$F65),
      IF($H65=Rates!$A$35,IF($J$23&gt;1,$F65*$J$23,MIN(NonFormularyOOP,$J65*$J$23)*$F65),
      ""))),
    ""),
  0)</f>
        <v>0</v>
      </c>
      <c r="AT65" s="4">
        <f>IF(OR(AT$48&gt;=$J$6,$AW$48&gt;=$J$7),
    IF($D65=AT$46,
      IF($H65=Rates!$A$33,IF($J$21&gt;1,$F65*$J$21,MIN(GenericOOP,$J65*$J$21)*$F65),
      IF($H65=Rates!$A$34,IF($J$22&gt;1,$F65*$J$22,MIN(BrandOOP,$J65*$J$22)*$F65),
      IF($H65=Rates!$A$35,IF($J$23&gt;1,$F65*$J$23,MIN(NonFormularyOOP,$J65*$J$23)*$F65),
      ""))),
    ""),
  0)</f>
        <v>0</v>
      </c>
      <c r="AU65" s="4">
        <f>IF(OR(AU$48&gt;=$J$6,$AW$48&gt;=$J$7),
    IF($D65=AU$46,
      IF($H65=Rates!$A$33,IF($J$21&gt;1,$F65*$J$21,MIN(GenericOOP,$J65*$J$21)*$F65),
      IF($H65=Rates!$A$34,IF($J$22&gt;1,$F65*$J$22,MIN(BrandOOP,$J65*$J$22)*$F65),
      IF($H65=Rates!$A$35,IF($J$23&gt;1,$F65*$J$23,MIN(NonFormularyOOP,$J65*$J$23)*$F65),
      ""))),
    ""),
  0)</f>
        <v>0</v>
      </c>
      <c r="AV65" s="4">
        <f>IF(OR(AV$48&gt;=$J$6,$AW$48&gt;=$J$7),
    IF($D65=AV$46,
      IF($H65=Rates!$A$33,IF($J$21&gt;1,$F65*$J$21,MIN(GenericOOP,$J65*$J$21)*$F65),
      IF($H65=Rates!$A$34,IF($J$22&gt;1,$F65*$J$22,MIN(BrandOOP,$J65*$J$22)*$F65),
      IF($H65=Rates!$A$35,IF($J$23&gt;1,$F65*$J$23,MIN(NonFormularyOOP,$J65*$J$23)*$F65),
      ""))),
    ""),
  0)</f>
        <v>0</v>
      </c>
      <c r="AW65" s="4">
        <f>IF(OR(AW$48&gt;=$J$6,$AW$48&gt;=$J$7),
    IF($D65=AW$46,
      IF($H65=Rates!$A$33,IF($J$21&gt;1,$F65*$J$21,MIN(GenericOOP,$J65*$J$21)*$F65),
      IF($H65=Rates!$A$34,IF($J$22&gt;1,$F65*$J$22,MIN(BrandOOP,$J65*$J$22)*$F65),
      IF($H65=Rates!$A$35,IF($J$23&gt;1,$F65*$J$23,MIN(NonFormularyOOP,$J65*$J$23)*$F65),
      ""))),
    ""),
  0)</f>
        <v>0</v>
      </c>
    </row>
    <row r="66" spans="1:49" x14ac:dyDescent="0.25">
      <c r="B66" s="96"/>
      <c r="D66" s="96"/>
      <c r="F66" s="96"/>
      <c r="H66" s="96"/>
      <c r="J66" s="97">
        <f t="shared" si="4"/>
        <v>0</v>
      </c>
      <c r="N66" s="13">
        <f t="shared" si="5"/>
        <v>0</v>
      </c>
      <c r="Q66" s="4" t="str">
        <f>IF($D$18="Yes",0,IF($D66=Q$46,IF($H66=Rates!A33,IF($D$21&gt;1,$F66*$D$21,MIN(GenericOOP,$J66*$D$21)*$F66),IF($H66=Rates!A34,IF($D$22&gt;1,$F66*$D$22,MIN(BrandOOP,$J66*$D$22)*$F66),IF($H66=Rates!A35,IF($D$23&gt;1,$F66*$D$23,MIN(NonFormularyOOP,$J66*$D$23)*$F66),""))),""))</f>
        <v/>
      </c>
      <c r="R66" s="4" t="str">
        <f>IF($D$18="Yes",0,IF($D66=R$46,IF($H66=Rates!A33,IF($D$21&gt;1,$F66*$D$21,MIN(GenericOOP,$J66*$D$21)*$F66),IF($H66=Rates!A34,IF($D$22&gt;1,$F66*$D$22,MIN(BrandOOP,$J66*$D$22)*$F66),IF($H66=Rates!A35,IF($D$23&gt;1,$F66*$D$23,MIN(NonFormularyOOP,$J66*$D$23)*$F66),""))),""))</f>
        <v/>
      </c>
      <c r="S66" s="4" t="str">
        <f>IF($D$18="Yes",0,IF($D66=S$46,IF($H66=Rates!A33,IF($D$21&gt;1,$F66*$D$21,MIN(GenericOOP,$J66*$D$21)*$F66),IF($H66=Rates!A34,IF($D$22&gt;1,$F66*$D$22,MIN(BrandOOP,$J66*$D$22)*$F66),IF($H66=Rates!A35,IF($D$23&gt;1,$F66*$D$23,MIN(NonFormularyOOP,$J66*$D$23)*$F66),""))),""))</f>
        <v/>
      </c>
      <c r="T66" s="4" t="str">
        <f>IF($D$18="Yes",0,IF($D66=T$46,IF($H66=Rates!A33,IF($D$21&gt;1,$F66*$D$21,MIN(GenericOOP,$J66*$D$21)*$F66),IF($H66=Rates!A34,IF($D$22&gt;1,$F66*$D$22,MIN(BrandOOP,$J66*$D$22)*$F66),IF($H66=Rates!A35,IF($D$23&gt;1,$F66*$D$23,MIN(NonFormularyOOP,$J66*$D$23)*$F66),""))),""))</f>
        <v/>
      </c>
      <c r="U66" s="4" t="str">
        <f>IF($D$18="Yes",0,IF($D66=U$46,IF($H66=Rates!A33,IF($D$21&gt;1,$F66*$D$21,MIN(GenericOOP,$J66*$D$21)*$F66),IF($H66=Rates!A34,IF($D$22&gt;1,$F66*$D$22,MIN(BrandOOP,$J66*$D$22)*$F66),IF($H66=Rates!A35,IF($D$23&gt;1,$F66*$D$23,MIN(NonFormularyOOP,$J66*$D$23)*$F66),""))),""))</f>
        <v/>
      </c>
      <c r="V66" s="4" t="str">
        <f>IF($D$18="Yes",0,IF($D66=V$46,IF($H66=Rates!A33,IF($D$21&gt;1,$F66*$D$21,MIN(GenericOOP,$J66*$D$21)*$F66),IF($H66=Rates!A34,IF($D$22&gt;1,$F66*$D$22,MIN(BrandOOP,$J66*$D$22)*$F66),IF($H66=Rates!A35,IF($D$23&gt;1,$F66*$D$23,MIN(NonFormularyOOP,$J66*$D$23)*$F66),""))),""))</f>
        <v/>
      </c>
      <c r="Z66" s="4" t="str">
        <f>IF($F$18="Yes",0,IF($D66=Z$46,IF($H66=Rates!A33,IF($F$21&gt;1,$F66*$F$21,MIN(GenericOOP,$J66*$F$21)*$F66),IF($H66=Rates!A34,IF($F$22&gt;1,$F66*$F$22,MIN(BrandOOP,$J66*$F$22)*$F66),IF($H66=Rates!A35,IF($F$23&gt;1,$F66*$F$23,MIN(NonFormularyOOP,$J66*$F$23)*$F66),""))),""))</f>
        <v/>
      </c>
      <c r="AA66" s="4" t="str">
        <f>IF($F$18="Yes",0,IF($D66=AA$46,IF($H66=Rates!A33,IF($F$21&gt;1,$F66*$F$21,MIN(GenericOOP,$J66*$F$21)*$F66),IF($H66=Rates!A34,IF($F$22&gt;1,$F66*$F$22,MIN(BrandOOP,$J66*$F$22)*$F66),IF($H66=Rates!A35,IF($F$23&gt;1,$F66*$F$23,MIN(NonFormularyOOP,$J66*$F$23)*$F66),""))),""))</f>
        <v/>
      </c>
      <c r="AB66" s="4" t="str">
        <f>IF($F$18="Yes",0,IF($D66=AB$46,IF($H66=Rates!A33,IF($F$21&gt;1,$F66*$F$21,MIN(GenericOOP,$J66*$F$21)*$F66),IF($H66=Rates!A34,IF($F$22&gt;1,$F66*$F$22,MIN(BrandOOP,$J66*$F$22)*$F66),IF($H66=Rates!A35,IF($F$23&gt;1,$F66*$F$23,MIN(NonFormularyOOP,$J66*$F$23)*$F66),""))),""))</f>
        <v/>
      </c>
      <c r="AC66" s="4" t="str">
        <f>IF($F$18="Yes",0,IF($D66=AC$46,IF($H66=Rates!A33,IF($F$21&gt;1,$F66*$F$21,MIN(GenericOOP,$J66*$F$21)*$F66),IF($H66=Rates!A34,IF($F$22&gt;1,$F66*$F$22,MIN(BrandOOP,$J66*$F$22)*$F66),IF($H66=Rates!A35,IF($F$23&gt;1,$F66*$F$23,MIN(NonFormularyOOP,$J66*$F$23)*$F66),""))),""))</f>
        <v/>
      </c>
      <c r="AD66" s="4" t="str">
        <f>IF($F$18="Yes",0,IF($D66=AD$46,IF($H66=Rates!A33,IF($F$21&gt;1,$F66*$F$21,MIN(GenericOOP,$J66*$F$21)*$F66),IF($H66=Rates!A34,IF($F$22&gt;1,$F66*$F$22,MIN(BrandOOP,$J66*$F$22)*$F66),IF($H66=Rates!A35,IF($F$23&gt;1,$F66*$F$23,MIN(NonFormularyOOP,$J66*$F$23)*$F66),""))),""))</f>
        <v/>
      </c>
      <c r="AE66" s="4" t="str">
        <f>IF($F$18="Yes",0,IF($D66=AE$46,IF($H66=Rates!A33,IF($F$21&gt;1,$F66*$F$21,MIN(GenericOOP,$J66*$F$21)*$F66),IF($H66=Rates!A34,IF($F$22&gt;1,$F66*$F$22,MIN(BrandOOP,$J66*$F$22)*$F66),IF($H66=Rates!A35,IF($F$23&gt;1,$F66*$F$23,MIN(NonFormularyOOP,$J66*$F$23)*$F66),""))),""))</f>
        <v/>
      </c>
      <c r="AI66" s="4">
        <f>IF(OR(AI$48&gt;=$H$6,$AO$48&gt;=$H$7),
    IF($D66=AI$46,
      IF($H66=Rates!$A$33,IF($H$21&gt;1,$F66*$H$21,MIN(GenericOOP,$J66*$H$21)*$F66),
      IF($H66=Rates!$A$34,IF($H$22&gt;1,$F66*$H$22,MIN(BrandOOP,$J66*$H$22)*$F66),
      IF($H66=Rates!$A$35,IF($H$23&gt;1,$F66*$H$23,MIN(NonFormularyOOP,$J66*$H$23)*$F66),
      ""))),
    ""),
  0)</f>
        <v>0</v>
      </c>
      <c r="AJ66" s="4">
        <f>IF(OR(AJ$48&gt;=$H$6,$AO$48&gt;=$H$7),
    IF($D66=AJ$46,
      IF($H66=Rates!$A$33,IF($H$21&gt;1,$F66*$H$21,MIN(GenericOOP,$J66*$H$21)*$F66),
      IF($H66=Rates!$A$34,IF($H$22&gt;1,$F66*$H$22,MIN(BrandOOP,$J66*$H$22)*$F66),
      IF($H66=Rates!$A$35,IF($H$23&gt;1,$F66*$H$23,MIN(NonFormularyOOP,$J66*$H$23)*$F66),
      ""))),
    ""),
  0)</f>
        <v>0</v>
      </c>
      <c r="AK66" s="4">
        <f>IF(OR(AK$48&gt;=$H$6,$AO$48&gt;=$H$7),
    IF($D66=AK$46,
      IF($H66=Rates!$A$33,IF($H$21&gt;1,$F66*$H$21,MIN(GenericOOP,$J66*$H$21)*$F66),
      IF($H66=Rates!$A$34,IF($H$22&gt;1,$F66*$H$22,MIN(BrandOOP,$J66*$H$22)*$F66),
      IF($H66=Rates!$A$35,IF($H$23&gt;1,$F66*$H$23,MIN(NonFormularyOOP,$J66*$H$23)*$F66),
      ""))),
    ""),
  0)</f>
        <v>0</v>
      </c>
      <c r="AL66" s="4">
        <f>IF(OR(AL$48&gt;=$H$6,$AO$48&gt;=$H$7),
    IF($D66=AL$46,
      IF($H66=Rates!$A$33,IF($H$21&gt;1,$F66*$H$21,MIN(GenericOOP,$J66*$H$21)*$F66),
      IF($H66=Rates!$A$34,IF($H$22&gt;1,$F66*$H$22,MIN(BrandOOP,$J66*$H$22)*$F66),
      IF($H66=Rates!$A$35,IF($H$23&gt;1,$F66*$H$23,MIN(NonFormularyOOP,$J66*$H$23)*$F66),
      ""))),
    ""),
  0)</f>
        <v>0</v>
      </c>
      <c r="AM66" s="4">
        <f>IF(OR(AM$48&gt;=$H$6,$AO$48&gt;=$H$7),
    IF($D66=AM$46,
      IF($H66=Rates!$A$33,IF($H$21&gt;1,$F66*$H$21,MIN(GenericOOP,$J66*$H$21)*$F66),
      IF($H66=Rates!$A$34,IF($H$22&gt;1,$F66*$H$22,MIN(BrandOOP,$J66*$H$22)*$F66),
      IF($H66=Rates!$A$35,IF($H$23&gt;1,$F66*$H$23,MIN(NonFormularyOOP,$J66*$H$23)*$F66),
      ""))),
    ""),
  0)</f>
        <v>0</v>
      </c>
      <c r="AN66" s="4">
        <f>IF(OR(AN$48&gt;=$H$6,$AO$48&gt;=$H$7),
    IF($D66=AN$46,
      IF($H66=Rates!$A$33,IF($H$21&gt;1,$F66*$H$21,MIN(GenericOOP,$J66*$H$21)*$F66),
      IF($H66=Rates!$A$34,IF($H$22&gt;1,$F66*$H$22,MIN(BrandOOP,$J66*$H$22)*$F66),
      IF($H66=Rates!$A$35,IF($H$23&gt;1,$F66*$H$23,MIN(NonFormularyOOP,$J66*$H$23)*$F66),
      ""))),
    ""),
  0)</f>
        <v>0</v>
      </c>
      <c r="AR66" s="4">
        <f>IF(OR(AR$48&gt;=$J$6,$AW$48&gt;=$J$7),
    IF($D66=AR$46,
      IF($H66=Rates!$A$33,IF($J$21&gt;1,$F66*$J$21,MIN(GenericOOP,$J66*$J$21)*$F66),
      IF($H66=Rates!$A$34,IF($J$22&gt;1,$F66*$J$22,MIN(BrandOOP,$J66*$J$22)*$F66),
      IF($H66=Rates!$A$35,IF($J$23&gt;1,$F66*$J$23,MIN(NonFormularyOOP,$J66*$J$23)*$F66),
      ""))),
    ""),
  0)</f>
        <v>0</v>
      </c>
      <c r="AS66" s="4">
        <f>IF(OR(AS$48&gt;=$J$6,$AW$48&gt;=$J$7),
    IF($D66=AS$46,
      IF($H66=Rates!$A$33,IF($J$21&gt;1,$F66*$J$21,MIN(GenericOOP,$J66*$J$21)*$F66),
      IF($H66=Rates!$A$34,IF($J$22&gt;1,$F66*$J$22,MIN(BrandOOP,$J66*$J$22)*$F66),
      IF($H66=Rates!$A$35,IF($J$23&gt;1,$F66*$J$23,MIN(NonFormularyOOP,$J66*$J$23)*$F66),
      ""))),
    ""),
  0)</f>
        <v>0</v>
      </c>
      <c r="AT66" s="4">
        <f>IF(OR(AT$48&gt;=$J$6,$AW$48&gt;=$J$7),
    IF($D66=AT$46,
      IF($H66=Rates!$A$33,IF($J$21&gt;1,$F66*$J$21,MIN(GenericOOP,$J66*$J$21)*$F66),
      IF($H66=Rates!$A$34,IF($J$22&gt;1,$F66*$J$22,MIN(BrandOOP,$J66*$J$22)*$F66),
      IF($H66=Rates!$A$35,IF($J$23&gt;1,$F66*$J$23,MIN(NonFormularyOOP,$J66*$J$23)*$F66),
      ""))),
    ""),
  0)</f>
        <v>0</v>
      </c>
      <c r="AU66" s="4">
        <f>IF(OR(AU$48&gt;=$J$6,$AW$48&gt;=$J$7),
    IF($D66=AU$46,
      IF($H66=Rates!$A$33,IF($J$21&gt;1,$F66*$J$21,MIN(GenericOOP,$J66*$J$21)*$F66),
      IF($H66=Rates!$A$34,IF($J$22&gt;1,$F66*$J$22,MIN(BrandOOP,$J66*$J$22)*$F66),
      IF($H66=Rates!$A$35,IF($J$23&gt;1,$F66*$J$23,MIN(NonFormularyOOP,$J66*$J$23)*$F66),
      ""))),
    ""),
  0)</f>
        <v>0</v>
      </c>
      <c r="AV66" s="4">
        <f>IF(OR(AV$48&gt;=$J$6,$AW$48&gt;=$J$7),
    IF($D66=AV$46,
      IF($H66=Rates!$A$33,IF($J$21&gt;1,$F66*$J$21,MIN(GenericOOP,$J66*$J$21)*$F66),
      IF($H66=Rates!$A$34,IF($J$22&gt;1,$F66*$J$22,MIN(BrandOOP,$J66*$J$22)*$F66),
      IF($H66=Rates!$A$35,IF($J$23&gt;1,$F66*$J$23,MIN(NonFormularyOOP,$J66*$J$23)*$F66),
      ""))),
    ""),
  0)</f>
        <v>0</v>
      </c>
      <c r="AW66" s="4">
        <f>IF(OR(AW$48&gt;=$J$6,$AW$48&gt;=$J$7),
    IF($D66=AW$46,
      IF($H66=Rates!$A$33,IF($J$21&gt;1,$F66*$J$21,MIN(GenericOOP,$J66*$J$21)*$F66),
      IF($H66=Rates!$A$34,IF($J$22&gt;1,$F66*$J$22,MIN(BrandOOP,$J66*$J$22)*$F66),
      IF($H66=Rates!$A$35,IF($J$23&gt;1,$F66*$J$23,MIN(NonFormularyOOP,$J66*$J$23)*$F66),
      ""))),
    ""),
  0)</f>
        <v>0</v>
      </c>
    </row>
    <row r="67" spans="1:49" x14ac:dyDescent="0.25">
      <c r="B67" s="96"/>
      <c r="D67" s="96"/>
      <c r="F67" s="96"/>
      <c r="H67" s="96"/>
      <c r="J67" s="97">
        <f t="shared" si="4"/>
        <v>0</v>
      </c>
      <c r="N67" s="13">
        <f t="shared" si="5"/>
        <v>0</v>
      </c>
      <c r="Q67" s="4" t="str">
        <f>IF($D$18="Yes",0,IF($D67=Q$46,IF($H67=Rates!A33,IF($D$21&gt;1,$F67*$D$21,MIN(GenericOOP,$J67*$D$21)*$F67),IF($H67=Rates!A34,IF($D$22&gt;1,$F67*$D$22,MIN(BrandOOP,$J67*$D$22)*$F67),IF($H67=Rates!A35,IF($D$23&gt;1,$F67*$D$23,MIN(NonFormularyOOP,$J67*$D$23)*$F67),""))),""))</f>
        <v/>
      </c>
      <c r="R67" s="4" t="str">
        <f>IF($D$18="Yes",0,IF($D67=R$46,IF($H67=Rates!A33,IF($D$21&gt;1,$F67*$D$21,MIN(GenericOOP,$J67*$D$21)*$F67),IF($H67=Rates!A34,IF($D$22&gt;1,$F67*$D$22,MIN(BrandOOP,$J67*$D$22)*$F67),IF($H67=Rates!A35,IF($D$23&gt;1,$F67*$D$23,MIN(NonFormularyOOP,$J67*$D$23)*$F67),""))),""))</f>
        <v/>
      </c>
      <c r="S67" s="4" t="str">
        <f>IF($D$18="Yes",0,IF($D67=S$46,IF($H67=Rates!A33,IF($D$21&gt;1,$F67*$D$21,MIN(GenericOOP,$J67*$D$21)*$F67),IF($H67=Rates!A34,IF($D$22&gt;1,$F67*$D$22,MIN(BrandOOP,$J67*$D$22)*$F67),IF($H67=Rates!A35,IF($D$23&gt;1,$F67*$D$23,MIN(NonFormularyOOP,$J67*$D$23)*$F67),""))),""))</f>
        <v/>
      </c>
      <c r="T67" s="4" t="str">
        <f>IF($D$18="Yes",0,IF($D67=T$46,IF($H67=Rates!A33,IF($D$21&gt;1,$F67*$D$21,MIN(GenericOOP,$J67*$D$21)*$F67),IF($H67=Rates!A34,IF($D$22&gt;1,$F67*$D$22,MIN(BrandOOP,$J67*$D$22)*$F67),IF($H67=Rates!A35,IF($D$23&gt;1,$F67*$D$23,MIN(NonFormularyOOP,$J67*$D$23)*$F67),""))),""))</f>
        <v/>
      </c>
      <c r="U67" s="4" t="str">
        <f>IF($D$18="Yes",0,IF($D67=U$46,IF($H67=Rates!A33,IF($D$21&gt;1,$F67*$D$21,MIN(GenericOOP,$J67*$D$21)*$F67),IF($H67=Rates!A34,IF($D$22&gt;1,$F67*$D$22,MIN(BrandOOP,$J67*$D$22)*$F67),IF($H67=Rates!A35,IF($D$23&gt;1,$F67*$D$23,MIN(NonFormularyOOP,$J67*$D$23)*$F67),""))),""))</f>
        <v/>
      </c>
      <c r="V67" s="4" t="str">
        <f>IF($D$18="Yes",0,IF($D67=V$46,IF($H67=Rates!A33,IF($D$21&gt;1,$F67*$D$21,MIN(GenericOOP,$J67*$D$21)*$F67),IF($H67=Rates!A34,IF($D$22&gt;1,$F67*$D$22,MIN(BrandOOP,$J67*$D$22)*$F67),IF($H67=Rates!A35,IF($D$23&gt;1,$F67*$D$23,MIN(NonFormularyOOP,$J67*$D$23)*$F67),""))),""))</f>
        <v/>
      </c>
      <c r="Z67" s="4" t="str">
        <f>IF($F$18="Yes",0,IF($D67=Z$46,IF($H67=Rates!A33,IF($F$21&gt;1,$F67*$F$21,MIN(GenericOOP,$J67*$F$21)*$F67),IF($H67=Rates!A34,IF($F$22&gt;1,$F67*$F$22,MIN(BrandOOP,$J67*$F$22)*$F67),IF($H67=Rates!A35,IF($F$23&gt;1,$F67*$F$23,MIN(NonFormularyOOP,$J67*$F$23)*$F67),""))),""))</f>
        <v/>
      </c>
      <c r="AA67" s="4" t="str">
        <f>IF($F$18="Yes",0,IF($D67=AA$46,IF($H67=Rates!A33,IF($F$21&gt;1,$F67*$F$21,MIN(GenericOOP,$J67*$F$21)*$F67),IF($H67=Rates!A34,IF($F$22&gt;1,$F67*$F$22,MIN(BrandOOP,$J67*$F$22)*$F67),IF($H67=Rates!A35,IF($F$23&gt;1,$F67*$F$23,MIN(NonFormularyOOP,$J67*$F$23)*$F67),""))),""))</f>
        <v/>
      </c>
      <c r="AB67" s="4" t="str">
        <f>IF($F$18="Yes",0,IF($D67=AB$46,IF($H67=Rates!A33,IF($F$21&gt;1,$F67*$F$21,MIN(GenericOOP,$J67*$F$21)*$F67),IF($H67=Rates!A34,IF($F$22&gt;1,$F67*$F$22,MIN(BrandOOP,$J67*$F$22)*$F67),IF($H67=Rates!A35,IF($F$23&gt;1,$F67*$F$23,MIN(NonFormularyOOP,$J67*$F$23)*$F67),""))),""))</f>
        <v/>
      </c>
      <c r="AC67" s="4" t="str">
        <f>IF($F$18="Yes",0,IF($D67=AC$46,IF($H67=Rates!A33,IF($F$21&gt;1,$F67*$F$21,MIN(GenericOOP,$J67*$F$21)*$F67),IF($H67=Rates!A34,IF($F$22&gt;1,$F67*$F$22,MIN(BrandOOP,$J67*$F$22)*$F67),IF($H67=Rates!A35,IF($F$23&gt;1,$F67*$F$23,MIN(NonFormularyOOP,$J67*$F$23)*$F67),""))),""))</f>
        <v/>
      </c>
      <c r="AD67" s="4" t="str">
        <f>IF($F$18="Yes",0,IF($D67=AD$46,IF($H67=Rates!A33,IF($F$21&gt;1,$F67*$F$21,MIN(GenericOOP,$J67*$F$21)*$F67),IF($H67=Rates!A34,IF($F$22&gt;1,$F67*$F$22,MIN(BrandOOP,$J67*$F$22)*$F67),IF($H67=Rates!A35,IF($F$23&gt;1,$F67*$F$23,MIN(NonFormularyOOP,$J67*$F$23)*$F67),""))),""))</f>
        <v/>
      </c>
      <c r="AE67" s="4" t="str">
        <f>IF($F$18="Yes",0,IF($D67=AE$46,IF($H67=Rates!A33,IF($F$21&gt;1,$F67*$F$21,MIN(GenericOOP,$J67*$F$21)*$F67),IF($H67=Rates!A34,IF($F$22&gt;1,$F67*$F$22,MIN(BrandOOP,$J67*$F$22)*$F67),IF($H67=Rates!A35,IF($F$23&gt;1,$F67*$F$23,MIN(NonFormularyOOP,$J67*$F$23)*$F67),""))),""))</f>
        <v/>
      </c>
      <c r="AI67" s="4">
        <f>IF(OR(AI$48&gt;=$H$6,$AO$48&gt;=$H$7),
    IF($D67=AI$46,
      IF($H67=Rates!$A$33,IF($H$21&gt;1,$F67*$H$21,MIN(GenericOOP,$J67*$H$21)*$F67),
      IF($H67=Rates!$A$34,IF($H$22&gt;1,$F67*$H$22,MIN(BrandOOP,$J67*$H$22)*$F67),
      IF($H67=Rates!$A$35,IF($H$23&gt;1,$F67*$H$23,MIN(NonFormularyOOP,$J67*$H$23)*$F67),
      ""))),
    ""),
  0)</f>
        <v>0</v>
      </c>
      <c r="AJ67" s="4">
        <f>IF(OR(AJ$48&gt;=$H$6,$AO$48&gt;=$H$7),
    IF($D67=AJ$46,
      IF($H67=Rates!$A$33,IF($H$21&gt;1,$F67*$H$21,MIN(GenericOOP,$J67*$H$21)*$F67),
      IF($H67=Rates!$A$34,IF($H$22&gt;1,$F67*$H$22,MIN(BrandOOP,$J67*$H$22)*$F67),
      IF($H67=Rates!$A$35,IF($H$23&gt;1,$F67*$H$23,MIN(NonFormularyOOP,$J67*$H$23)*$F67),
      ""))),
    ""),
  0)</f>
        <v>0</v>
      </c>
      <c r="AK67" s="4">
        <f>IF(OR(AK$48&gt;=$H$6,$AO$48&gt;=$H$7),
    IF($D67=AK$46,
      IF($H67=Rates!$A$33,IF($H$21&gt;1,$F67*$H$21,MIN(GenericOOP,$J67*$H$21)*$F67),
      IF($H67=Rates!$A$34,IF($H$22&gt;1,$F67*$H$22,MIN(BrandOOP,$J67*$H$22)*$F67),
      IF($H67=Rates!$A$35,IF($H$23&gt;1,$F67*$H$23,MIN(NonFormularyOOP,$J67*$H$23)*$F67),
      ""))),
    ""),
  0)</f>
        <v>0</v>
      </c>
      <c r="AL67" s="4">
        <f>IF(OR(AL$48&gt;=$H$6,$AO$48&gt;=$H$7),
    IF($D67=AL$46,
      IF($H67=Rates!$A$33,IF($H$21&gt;1,$F67*$H$21,MIN(GenericOOP,$J67*$H$21)*$F67),
      IF($H67=Rates!$A$34,IF($H$22&gt;1,$F67*$H$22,MIN(BrandOOP,$J67*$H$22)*$F67),
      IF($H67=Rates!$A$35,IF($H$23&gt;1,$F67*$H$23,MIN(NonFormularyOOP,$J67*$H$23)*$F67),
      ""))),
    ""),
  0)</f>
        <v>0</v>
      </c>
      <c r="AM67" s="4">
        <f>IF(OR(AM$48&gt;=$H$6,$AO$48&gt;=$H$7),
    IF($D67=AM$46,
      IF($H67=Rates!$A$33,IF($H$21&gt;1,$F67*$H$21,MIN(GenericOOP,$J67*$H$21)*$F67),
      IF($H67=Rates!$A$34,IF($H$22&gt;1,$F67*$H$22,MIN(BrandOOP,$J67*$H$22)*$F67),
      IF($H67=Rates!$A$35,IF($H$23&gt;1,$F67*$H$23,MIN(NonFormularyOOP,$J67*$H$23)*$F67),
      ""))),
    ""),
  0)</f>
        <v>0</v>
      </c>
      <c r="AN67" s="4">
        <f>IF(OR(AN$48&gt;=$H$6,$AO$48&gt;=$H$7),
    IF($D67=AN$46,
      IF($H67=Rates!$A$33,IF($H$21&gt;1,$F67*$H$21,MIN(GenericOOP,$J67*$H$21)*$F67),
      IF($H67=Rates!$A$34,IF($H$22&gt;1,$F67*$H$22,MIN(BrandOOP,$J67*$H$22)*$F67),
      IF($H67=Rates!$A$35,IF($H$23&gt;1,$F67*$H$23,MIN(NonFormularyOOP,$J67*$H$23)*$F67),
      ""))),
    ""),
  0)</f>
        <v>0</v>
      </c>
      <c r="AR67" s="4">
        <f>IF(OR(AR$48&gt;=$J$6,$AW$48&gt;=$J$7),
    IF($D67=AR$46,
      IF($H67=Rates!$A$33,IF($J$21&gt;1,$F67*$J$21,MIN(GenericOOP,$J67*$J$21)*$F67),
      IF($H67=Rates!$A$34,IF($J$22&gt;1,$F67*$J$22,MIN(BrandOOP,$J67*$J$22)*$F67),
      IF($H67=Rates!$A$35,IF($J$23&gt;1,$F67*$J$23,MIN(NonFormularyOOP,$J67*$J$23)*$F67),
      ""))),
    ""),
  0)</f>
        <v>0</v>
      </c>
      <c r="AS67" s="4">
        <f>IF(OR(AS$48&gt;=$J$6,$AW$48&gt;=$J$7),
    IF($D67=AS$46,
      IF($H67=Rates!$A$33,IF($J$21&gt;1,$F67*$J$21,MIN(GenericOOP,$J67*$J$21)*$F67),
      IF($H67=Rates!$A$34,IF($J$22&gt;1,$F67*$J$22,MIN(BrandOOP,$J67*$J$22)*$F67),
      IF($H67=Rates!$A$35,IF($J$23&gt;1,$F67*$J$23,MIN(NonFormularyOOP,$J67*$J$23)*$F67),
      ""))),
    ""),
  0)</f>
        <v>0</v>
      </c>
      <c r="AT67" s="4">
        <f>IF(OR(AT$48&gt;=$J$6,$AW$48&gt;=$J$7),
    IF($D67=AT$46,
      IF($H67=Rates!$A$33,IF($J$21&gt;1,$F67*$J$21,MIN(GenericOOP,$J67*$J$21)*$F67),
      IF($H67=Rates!$A$34,IF($J$22&gt;1,$F67*$J$22,MIN(BrandOOP,$J67*$J$22)*$F67),
      IF($H67=Rates!$A$35,IF($J$23&gt;1,$F67*$J$23,MIN(NonFormularyOOP,$J67*$J$23)*$F67),
      ""))),
    ""),
  0)</f>
        <v>0</v>
      </c>
      <c r="AU67" s="4">
        <f>IF(OR(AU$48&gt;=$J$6,$AW$48&gt;=$J$7),
    IF($D67=AU$46,
      IF($H67=Rates!$A$33,IF($J$21&gt;1,$F67*$J$21,MIN(GenericOOP,$J67*$J$21)*$F67),
      IF($H67=Rates!$A$34,IF($J$22&gt;1,$F67*$J$22,MIN(BrandOOP,$J67*$J$22)*$F67),
      IF($H67=Rates!$A$35,IF($J$23&gt;1,$F67*$J$23,MIN(NonFormularyOOP,$J67*$J$23)*$F67),
      ""))),
    ""),
  0)</f>
        <v>0</v>
      </c>
      <c r="AV67" s="4">
        <f>IF(OR(AV$48&gt;=$J$6,$AW$48&gt;=$J$7),
    IF($D67=AV$46,
      IF($H67=Rates!$A$33,IF($J$21&gt;1,$F67*$J$21,MIN(GenericOOP,$J67*$J$21)*$F67),
      IF($H67=Rates!$A$34,IF($J$22&gt;1,$F67*$J$22,MIN(BrandOOP,$J67*$J$22)*$F67),
      IF($H67=Rates!$A$35,IF($J$23&gt;1,$F67*$J$23,MIN(NonFormularyOOP,$J67*$J$23)*$F67),
      ""))),
    ""),
  0)</f>
        <v>0</v>
      </c>
      <c r="AW67" s="4">
        <f>IF(OR(AW$48&gt;=$J$6,$AW$48&gt;=$J$7),
    IF($D67=AW$46,
      IF($H67=Rates!$A$33,IF($J$21&gt;1,$F67*$J$21,MIN(GenericOOP,$J67*$J$21)*$F67),
      IF($H67=Rates!$A$34,IF($J$22&gt;1,$F67*$J$22,MIN(BrandOOP,$J67*$J$22)*$F67),
      IF($H67=Rates!$A$35,IF($J$23&gt;1,$F67*$J$23,MIN(NonFormularyOOP,$J67*$J$23)*$F67),
      ""))),
    ""),
  0)</f>
        <v>0</v>
      </c>
    </row>
    <row r="68" spans="1:49" x14ac:dyDescent="0.25">
      <c r="B68" s="96"/>
      <c r="D68" s="96"/>
      <c r="F68" s="96"/>
      <c r="H68" s="96"/>
      <c r="J68" s="97">
        <f t="shared" si="4"/>
        <v>0</v>
      </c>
      <c r="N68" s="13">
        <f t="shared" si="5"/>
        <v>0</v>
      </c>
      <c r="Q68" s="4" t="str">
        <f>IF($D$18="Yes",0,IF($D68=Q$46,IF($H68=Rates!A33,IF($D$21&gt;1,$F68*$D$21,MIN(GenericOOP,$J68*$D$21)*$F68),IF($H68=Rates!A34,IF($D$22&gt;1,$F68*$D$22,MIN(BrandOOP,$J68*$D$22)*$F68),IF($H68=Rates!A35,IF($D$23&gt;1,$F68*$D$23,MIN(NonFormularyOOP,$J68*$D$23)*$F68),""))),""))</f>
        <v/>
      </c>
      <c r="R68" s="4" t="str">
        <f>IF($D$18="Yes",0,IF($D68=R$46,IF($H68=Rates!A33,IF($D$21&gt;1,$F68*$D$21,MIN(GenericOOP,$J68*$D$21)*$F68),IF($H68=Rates!A34,IF($D$22&gt;1,$F68*$D$22,MIN(BrandOOP,$J68*$D$22)*$F68),IF($H68=Rates!A35,IF($D$23&gt;1,$F68*$D$23,MIN(NonFormularyOOP,$J68*$D$23)*$F68),""))),""))</f>
        <v/>
      </c>
      <c r="S68" s="4" t="str">
        <f>IF($D$18="Yes",0,IF($D68=S$46,IF($H68=Rates!A33,IF($D$21&gt;1,$F68*$D$21,MIN(GenericOOP,$J68*$D$21)*$F68),IF($H68=Rates!A34,IF($D$22&gt;1,$F68*$D$22,MIN(BrandOOP,$J68*$D$22)*$F68),IF($H68=Rates!A35,IF($D$23&gt;1,$F68*$D$23,MIN(NonFormularyOOP,$J68*$D$23)*$F68),""))),""))</f>
        <v/>
      </c>
      <c r="T68" s="4" t="str">
        <f>IF($D$18="Yes",0,IF($D68=T$46,IF($H68=Rates!A33,IF($D$21&gt;1,$F68*$D$21,MIN(GenericOOP,$J68*$D$21)*$F68),IF($H68=Rates!A34,IF($D$22&gt;1,$F68*$D$22,MIN(BrandOOP,$J68*$D$22)*$F68),IF($H68=Rates!A35,IF($D$23&gt;1,$F68*$D$23,MIN(NonFormularyOOP,$J68*$D$23)*$F68),""))),""))</f>
        <v/>
      </c>
      <c r="U68" s="4" t="str">
        <f>IF($D$18="Yes",0,IF($D68=U$46,IF($H68=Rates!A33,IF($D$21&gt;1,$F68*$D$21,MIN(GenericOOP,$J68*$D$21)*$F68),IF($H68=Rates!A34,IF($D$22&gt;1,$F68*$D$22,MIN(BrandOOP,$J68*$D$22)*$F68),IF($H68=Rates!A35,IF($D$23&gt;1,$F68*$D$23,MIN(NonFormularyOOP,$J68*$D$23)*$F68),""))),""))</f>
        <v/>
      </c>
      <c r="V68" s="4" t="str">
        <f>IF($D$18="Yes",0,IF($D68=V$46,IF($H68=Rates!A33,IF($D$21&gt;1,$F68*$D$21,MIN(GenericOOP,$J68*$D$21)*$F68),IF($H68=Rates!A34,IF($D$22&gt;1,$F68*$D$22,MIN(BrandOOP,$J68*$D$22)*$F68),IF($H68=Rates!A35,IF($D$23&gt;1,$F68*$D$23,MIN(NonFormularyOOP,$J68*$D$23)*$F68),""))),""))</f>
        <v/>
      </c>
      <c r="Z68" s="4" t="str">
        <f>IF($F$18="Yes",0,IF($D68=Z$46,IF($H68=Rates!A33,IF($F$21&gt;1,$F68*$F$21,MIN(GenericOOP,$J68*$F$21)*$F68),IF($H68=Rates!A34,IF($F$22&gt;1,$F68*$F$22,MIN(BrandOOP,$J68*$F$22)*$F68),IF($H68=Rates!A35,IF($F$23&gt;1,$F68*$F$23,MIN(NonFormularyOOP,$J68*$F$23)*$F68),""))),""))</f>
        <v/>
      </c>
      <c r="AA68" s="4" t="str">
        <f>IF($F$18="Yes",0,IF($D68=AA$46,IF($H68=Rates!A33,IF($F$21&gt;1,$F68*$F$21,MIN(GenericOOP,$J68*$F$21)*$F68),IF($H68=Rates!A34,IF($F$22&gt;1,$F68*$F$22,MIN(BrandOOP,$J68*$F$22)*$F68),IF($H68=Rates!A35,IF($F$23&gt;1,$F68*$F$23,MIN(NonFormularyOOP,$J68*$F$23)*$F68),""))),""))</f>
        <v/>
      </c>
      <c r="AB68" s="4" t="str">
        <f>IF($F$18="Yes",0,IF($D68=AB$46,IF($H68=Rates!A33,IF($F$21&gt;1,$F68*$F$21,MIN(GenericOOP,$J68*$F$21)*$F68),IF($H68=Rates!A34,IF($F$22&gt;1,$F68*$F$22,MIN(BrandOOP,$J68*$F$22)*$F68),IF($H68=Rates!A35,IF($F$23&gt;1,$F68*$F$23,MIN(NonFormularyOOP,$J68*$F$23)*$F68),""))),""))</f>
        <v/>
      </c>
      <c r="AC68" s="4" t="str">
        <f>IF($F$18="Yes",0,IF($D68=AC$46,IF($H68=Rates!A33,IF($F$21&gt;1,$F68*$F$21,MIN(GenericOOP,$J68*$F$21)*$F68),IF($H68=Rates!A34,IF($F$22&gt;1,$F68*$F$22,MIN(BrandOOP,$J68*$F$22)*$F68),IF($H68=Rates!A35,IF($F$23&gt;1,$F68*$F$23,MIN(NonFormularyOOP,$J68*$F$23)*$F68),""))),""))</f>
        <v/>
      </c>
      <c r="AD68" s="4" t="str">
        <f>IF($F$18="Yes",0,IF($D68=AD$46,IF($H68=Rates!A33,IF($F$21&gt;1,$F68*$F$21,MIN(GenericOOP,$J68*$F$21)*$F68),IF($H68=Rates!A34,IF($F$22&gt;1,$F68*$F$22,MIN(BrandOOP,$J68*$F$22)*$F68),IF($H68=Rates!A35,IF($F$23&gt;1,$F68*$F$23,MIN(NonFormularyOOP,$J68*$F$23)*$F68),""))),""))</f>
        <v/>
      </c>
      <c r="AE68" s="4" t="str">
        <f>IF($F$18="Yes",0,IF($D68=AE$46,IF($H68=Rates!A33,IF($F$21&gt;1,$F68*$F$21,MIN(GenericOOP,$J68*$F$21)*$F68),IF($H68=Rates!A34,IF($F$22&gt;1,$F68*$F$22,MIN(BrandOOP,$J68*$F$22)*$F68),IF($H68=Rates!A35,IF($F$23&gt;1,$F68*$F$23,MIN(NonFormularyOOP,$J68*$F$23)*$F68),""))),""))</f>
        <v/>
      </c>
      <c r="AI68" s="4">
        <f>IF(OR(AI$48&gt;=$H$6,$AO$48&gt;=$H$7),
    IF($D68=AI$46,
      IF($H68=Rates!$A$33,IF($H$21&gt;1,$F68*$H$21,MIN(GenericOOP,$J68*$H$21)*$F68),
      IF($H68=Rates!$A$34,IF($H$22&gt;1,$F68*$H$22,MIN(BrandOOP,$J68*$H$22)*$F68),
      IF($H68=Rates!$A$35,IF($H$23&gt;1,$F68*$H$23,MIN(NonFormularyOOP,$J68*$H$23)*$F68),
      ""))),
    ""),
  0)</f>
        <v>0</v>
      </c>
      <c r="AJ68" s="4">
        <f>IF(OR(AJ$48&gt;=$H$6,$AO$48&gt;=$H$7),
    IF($D68=AJ$46,
      IF($H68=Rates!$A$33,IF($H$21&gt;1,$F68*$H$21,MIN(GenericOOP,$J68*$H$21)*$F68),
      IF($H68=Rates!$A$34,IF($H$22&gt;1,$F68*$H$22,MIN(BrandOOP,$J68*$H$22)*$F68),
      IF($H68=Rates!$A$35,IF($H$23&gt;1,$F68*$H$23,MIN(NonFormularyOOP,$J68*$H$23)*$F68),
      ""))),
    ""),
  0)</f>
        <v>0</v>
      </c>
      <c r="AK68" s="4">
        <f>IF(OR(AK$48&gt;=$H$6,$AO$48&gt;=$H$7),
    IF($D68=AK$46,
      IF($H68=Rates!$A$33,IF($H$21&gt;1,$F68*$H$21,MIN(GenericOOP,$J68*$H$21)*$F68),
      IF($H68=Rates!$A$34,IF($H$22&gt;1,$F68*$H$22,MIN(BrandOOP,$J68*$H$22)*$F68),
      IF($H68=Rates!$A$35,IF($H$23&gt;1,$F68*$H$23,MIN(NonFormularyOOP,$J68*$H$23)*$F68),
      ""))),
    ""),
  0)</f>
        <v>0</v>
      </c>
      <c r="AL68" s="4">
        <f>IF(OR(AL$48&gt;=$H$6,$AO$48&gt;=$H$7),
    IF($D68=AL$46,
      IF($H68=Rates!$A$33,IF($H$21&gt;1,$F68*$H$21,MIN(GenericOOP,$J68*$H$21)*$F68),
      IF($H68=Rates!$A$34,IF($H$22&gt;1,$F68*$H$22,MIN(BrandOOP,$J68*$H$22)*$F68),
      IF($H68=Rates!$A$35,IF($H$23&gt;1,$F68*$H$23,MIN(NonFormularyOOP,$J68*$H$23)*$F68),
      ""))),
    ""),
  0)</f>
        <v>0</v>
      </c>
      <c r="AM68" s="4">
        <f>IF(OR(AM$48&gt;=$H$6,$AO$48&gt;=$H$7),
    IF($D68=AM$46,
      IF($H68=Rates!$A$33,IF($H$21&gt;1,$F68*$H$21,MIN(GenericOOP,$J68*$H$21)*$F68),
      IF($H68=Rates!$A$34,IF($H$22&gt;1,$F68*$H$22,MIN(BrandOOP,$J68*$H$22)*$F68),
      IF($H68=Rates!$A$35,IF($H$23&gt;1,$F68*$H$23,MIN(NonFormularyOOP,$J68*$H$23)*$F68),
      ""))),
    ""),
  0)</f>
        <v>0</v>
      </c>
      <c r="AN68" s="4">
        <f>IF(OR(AN$48&gt;=$H$6,$AO$48&gt;=$H$7),
    IF($D68=AN$46,
      IF($H68=Rates!$A$33,IF($H$21&gt;1,$F68*$H$21,MIN(GenericOOP,$J68*$H$21)*$F68),
      IF($H68=Rates!$A$34,IF($H$22&gt;1,$F68*$H$22,MIN(BrandOOP,$J68*$H$22)*$F68),
      IF($H68=Rates!$A$35,IF($H$23&gt;1,$F68*$H$23,MIN(NonFormularyOOP,$J68*$H$23)*$F68),
      ""))),
    ""),
  0)</f>
        <v>0</v>
      </c>
      <c r="AR68" s="4">
        <f>IF(OR(AR$48&gt;=$J$6,$AW$48&gt;=$J$7),
    IF($D68=AR$46,
      IF($H68=Rates!$A$33,IF($J$21&gt;1,$F68*$J$21,MIN(GenericOOP,$J68*$J$21)*$F68),
      IF($H68=Rates!$A$34,IF($J$22&gt;1,$F68*$J$22,MIN(BrandOOP,$J68*$J$22)*$F68),
      IF($H68=Rates!$A$35,IF($J$23&gt;1,$F68*$J$23,MIN(NonFormularyOOP,$J68*$J$23)*$F68),
      ""))),
    ""),
  0)</f>
        <v>0</v>
      </c>
      <c r="AS68" s="4">
        <f>IF(OR(AS$48&gt;=$J$6,$AW$48&gt;=$J$7),
    IF($D68=AS$46,
      IF($H68=Rates!$A$33,IF($J$21&gt;1,$F68*$J$21,MIN(GenericOOP,$J68*$J$21)*$F68),
      IF($H68=Rates!$A$34,IF($J$22&gt;1,$F68*$J$22,MIN(BrandOOP,$J68*$J$22)*$F68),
      IF($H68=Rates!$A$35,IF($J$23&gt;1,$F68*$J$23,MIN(NonFormularyOOP,$J68*$J$23)*$F68),
      ""))),
    ""),
  0)</f>
        <v>0</v>
      </c>
      <c r="AT68" s="4">
        <f>IF(OR(AT$48&gt;=$J$6,$AW$48&gt;=$J$7),
    IF($D68=AT$46,
      IF($H68=Rates!$A$33,IF($J$21&gt;1,$F68*$J$21,MIN(GenericOOP,$J68*$J$21)*$F68),
      IF($H68=Rates!$A$34,IF($J$22&gt;1,$F68*$J$22,MIN(BrandOOP,$J68*$J$22)*$F68),
      IF($H68=Rates!$A$35,IF($J$23&gt;1,$F68*$J$23,MIN(NonFormularyOOP,$J68*$J$23)*$F68),
      ""))),
    ""),
  0)</f>
        <v>0</v>
      </c>
      <c r="AU68" s="4">
        <f>IF(OR(AU$48&gt;=$J$6,$AW$48&gt;=$J$7),
    IF($D68=AU$46,
      IF($H68=Rates!$A$33,IF($J$21&gt;1,$F68*$J$21,MIN(GenericOOP,$J68*$J$21)*$F68),
      IF($H68=Rates!$A$34,IF($J$22&gt;1,$F68*$J$22,MIN(BrandOOP,$J68*$J$22)*$F68),
      IF($H68=Rates!$A$35,IF($J$23&gt;1,$F68*$J$23,MIN(NonFormularyOOP,$J68*$J$23)*$F68),
      ""))),
    ""),
  0)</f>
        <v>0</v>
      </c>
      <c r="AV68" s="4">
        <f>IF(OR(AV$48&gt;=$J$6,$AW$48&gt;=$J$7),
    IF($D68=AV$46,
      IF($H68=Rates!$A$33,IF($J$21&gt;1,$F68*$J$21,MIN(GenericOOP,$J68*$J$21)*$F68),
      IF($H68=Rates!$A$34,IF($J$22&gt;1,$F68*$J$22,MIN(BrandOOP,$J68*$J$22)*$F68),
      IF($H68=Rates!$A$35,IF($J$23&gt;1,$F68*$J$23,MIN(NonFormularyOOP,$J68*$J$23)*$F68),
      ""))),
    ""),
  0)</f>
        <v>0</v>
      </c>
      <c r="AW68" s="4">
        <f>IF(OR(AW$48&gt;=$J$6,$AW$48&gt;=$J$7),
    IF($D68=AW$46,
      IF($H68=Rates!$A$33,IF($J$21&gt;1,$F68*$J$21,MIN(GenericOOP,$J68*$J$21)*$F68),
      IF($H68=Rates!$A$34,IF($J$22&gt;1,$F68*$J$22,MIN(BrandOOP,$J68*$J$22)*$F68),
      IF($H68=Rates!$A$35,IF($J$23&gt;1,$F68*$J$23,MIN(NonFormularyOOP,$J68*$J$23)*$F68),
      ""))),
    ""),
  0)</f>
        <v>0</v>
      </c>
    </row>
    <row r="69" spans="1:49" x14ac:dyDescent="0.25">
      <c r="B69" s="96"/>
      <c r="D69" s="96"/>
      <c r="F69" s="96"/>
      <c r="H69" s="96"/>
      <c r="J69" s="97">
        <f t="shared" si="4"/>
        <v>0</v>
      </c>
      <c r="N69" s="13">
        <f t="shared" si="5"/>
        <v>0</v>
      </c>
      <c r="Q69" s="4" t="str">
        <f>IF($D$18="Yes",0,IF($D69=Q$46,IF($H69=Rates!A33,IF($D$21&gt;1,$F69*$D$21,MIN(GenericOOP,$J69*$D$21)*$F69),IF($H69=Rates!A34,IF($D$22&gt;1,$F69*$D$22,MIN(BrandOOP,$J69*$D$22)*$F69),IF($H69=Rates!A35,IF($D$23&gt;1,$F69*$D$23,MIN(NonFormularyOOP,$J69*$D$23)*$F69),""))),""))</f>
        <v/>
      </c>
      <c r="R69" s="4" t="str">
        <f>IF($D$18="Yes",0,IF($D69=R$46,IF($H69=Rates!A33,IF($D$21&gt;1,$F69*$D$21,MIN(GenericOOP,$J69*$D$21)*$F69),IF($H69=Rates!A34,IF($D$22&gt;1,$F69*$D$22,MIN(BrandOOP,$J69*$D$22)*$F69),IF($H69=Rates!A35,IF($D$23&gt;1,$F69*$D$23,MIN(NonFormularyOOP,$J69*$D$23)*$F69),""))),""))</f>
        <v/>
      </c>
      <c r="S69" s="4" t="str">
        <f>IF($D$18="Yes",0,IF($D69=S$46,IF($H69=Rates!A33,IF($D$21&gt;1,$F69*$D$21,MIN(GenericOOP,$J69*$D$21)*$F69),IF($H69=Rates!A34,IF($D$22&gt;1,$F69*$D$22,MIN(BrandOOP,$J69*$D$22)*$F69),IF($H69=Rates!A35,IF($D$23&gt;1,$F69*$D$23,MIN(NonFormularyOOP,$J69*$D$23)*$F69),""))),""))</f>
        <v/>
      </c>
      <c r="T69" s="4" t="str">
        <f>IF($D$18="Yes",0,IF($D69=T$46,IF($H69=Rates!A33,IF($D$21&gt;1,$F69*$D$21,MIN(GenericOOP,$J69*$D$21)*$F69),IF($H69=Rates!A34,IF($D$22&gt;1,$F69*$D$22,MIN(BrandOOP,$J69*$D$22)*$F69),IF($H69=Rates!A35,IF($D$23&gt;1,$F69*$D$23,MIN(NonFormularyOOP,$J69*$D$23)*$F69),""))),""))</f>
        <v/>
      </c>
      <c r="U69" s="4" t="str">
        <f>IF($D$18="Yes",0,IF($D69=U$46,IF($H69=Rates!A33,IF($D$21&gt;1,$F69*$D$21,MIN(GenericOOP,$J69*$D$21)*$F69),IF($H69=Rates!A34,IF($D$22&gt;1,$F69*$D$22,MIN(BrandOOP,$J69*$D$22)*$F69),IF($H69=Rates!A35,IF($D$23&gt;1,$F69*$D$23,MIN(NonFormularyOOP,$J69*$D$23)*$F69),""))),""))</f>
        <v/>
      </c>
      <c r="V69" s="4" t="str">
        <f>IF($D$18="Yes",0,IF($D69=V$46,IF($H69=Rates!A33,IF($D$21&gt;1,$F69*$D$21,MIN(GenericOOP,$J69*$D$21)*$F69),IF($H69=Rates!A34,IF($D$22&gt;1,$F69*$D$22,MIN(BrandOOP,$J69*$D$22)*$F69),IF($H69=Rates!A35,IF($D$23&gt;1,$F69*$D$23,MIN(NonFormularyOOP,$J69*$D$23)*$F69),""))),""))</f>
        <v/>
      </c>
      <c r="Z69" s="4" t="str">
        <f>IF($F$18="Yes",0,IF($D69=Z$46,IF($H69=Rates!A33,IF($F$21&gt;1,$F69*$F$21,MIN(GenericOOP,$J69*$F$21)*$F69),IF($H69=Rates!A34,IF($F$22&gt;1,$F69*$F$22,MIN(BrandOOP,$J69*$F$22)*$F69),IF($H69=Rates!A35,IF($F$23&gt;1,$F69*$F$23,MIN(NonFormularyOOP,$J69*$F$23)*$F69),""))),""))</f>
        <v/>
      </c>
      <c r="AA69" s="4" t="str">
        <f>IF($F$18="Yes",0,IF($D69=AA$46,IF($H69=Rates!A33,IF($F$21&gt;1,$F69*$F$21,MIN(GenericOOP,$J69*$F$21)*$F69),IF($H69=Rates!A34,IF($F$22&gt;1,$F69*$F$22,MIN(BrandOOP,$J69*$F$22)*$F69),IF($H69=Rates!A35,IF($F$23&gt;1,$F69*$F$23,MIN(NonFormularyOOP,$J69*$F$23)*$F69),""))),""))</f>
        <v/>
      </c>
      <c r="AB69" s="4" t="str">
        <f>IF($F$18="Yes",0,IF($D69=AB$46,IF($H69=Rates!A33,IF($F$21&gt;1,$F69*$F$21,MIN(GenericOOP,$J69*$F$21)*$F69),IF($H69=Rates!A34,IF($F$22&gt;1,$F69*$F$22,MIN(BrandOOP,$J69*$F$22)*$F69),IF($H69=Rates!A35,IF($F$23&gt;1,$F69*$F$23,MIN(NonFormularyOOP,$J69*$F$23)*$F69),""))),""))</f>
        <v/>
      </c>
      <c r="AC69" s="4" t="str">
        <f>IF($F$18="Yes",0,IF($D69=AC$46,IF($H69=Rates!A33,IF($F$21&gt;1,$F69*$F$21,MIN(GenericOOP,$J69*$F$21)*$F69),IF($H69=Rates!A34,IF($F$22&gt;1,$F69*$F$22,MIN(BrandOOP,$J69*$F$22)*$F69),IF($H69=Rates!A35,IF($F$23&gt;1,$F69*$F$23,MIN(NonFormularyOOP,$J69*$F$23)*$F69),""))),""))</f>
        <v/>
      </c>
      <c r="AD69" s="4" t="str">
        <f>IF($F$18="Yes",0,IF($D69=AD$46,IF($H69=Rates!A33,IF($F$21&gt;1,$F69*$F$21,MIN(GenericOOP,$J69*$F$21)*$F69),IF($H69=Rates!A34,IF($F$22&gt;1,$F69*$F$22,MIN(BrandOOP,$J69*$F$22)*$F69),IF($H69=Rates!A35,IF($F$23&gt;1,$F69*$F$23,MIN(NonFormularyOOP,$J69*$F$23)*$F69),""))),""))</f>
        <v/>
      </c>
      <c r="AE69" s="4" t="str">
        <f>IF($F$18="Yes",0,IF($D69=AE$46,IF($H69=Rates!A33,IF($F$21&gt;1,$F69*$F$21,MIN(GenericOOP,$J69*$F$21)*$F69),IF($H69=Rates!A34,IF($F$22&gt;1,$F69*$F$22,MIN(BrandOOP,$J69*$F$22)*$F69),IF($H69=Rates!A35,IF($F$23&gt;1,$F69*$F$23,MIN(NonFormularyOOP,$J69*$F$23)*$F69),""))),""))</f>
        <v/>
      </c>
      <c r="AI69" s="4">
        <f>IF(OR(AI$48&gt;=$H$6,$AO$48&gt;=$H$7),
    IF($D69=AI$46,
      IF($H69=Rates!$A$33,IF($H$21&gt;1,$F69*$H$21,MIN(GenericOOP,$J69*$H$21)*$F69),
      IF($H69=Rates!$A$34,IF($H$22&gt;1,$F69*$H$22,MIN(BrandOOP,$J69*$H$22)*$F69),
      IF($H69=Rates!$A$35,IF($H$23&gt;1,$F69*$H$23,MIN(NonFormularyOOP,$J69*$H$23)*$F69),
      ""))),
    ""),
  0)</f>
        <v>0</v>
      </c>
      <c r="AJ69" s="4">
        <f>IF(OR(AJ$48&gt;=$H$6,$AO$48&gt;=$H$7),
    IF($D69=AJ$46,
      IF($H69=Rates!$A$33,IF($H$21&gt;1,$F69*$H$21,MIN(GenericOOP,$J69*$H$21)*$F69),
      IF($H69=Rates!$A$34,IF($H$22&gt;1,$F69*$H$22,MIN(BrandOOP,$J69*$H$22)*$F69),
      IF($H69=Rates!$A$35,IF($H$23&gt;1,$F69*$H$23,MIN(NonFormularyOOP,$J69*$H$23)*$F69),
      ""))),
    ""),
  0)</f>
        <v>0</v>
      </c>
      <c r="AK69" s="4">
        <f>IF(OR(AK$48&gt;=$H$6,$AO$48&gt;=$H$7),
    IF($D69=AK$46,
      IF($H69=Rates!$A$33,IF($H$21&gt;1,$F69*$H$21,MIN(GenericOOP,$J69*$H$21)*$F69),
      IF($H69=Rates!$A$34,IF($H$22&gt;1,$F69*$H$22,MIN(BrandOOP,$J69*$H$22)*$F69),
      IF($H69=Rates!$A$35,IF($H$23&gt;1,$F69*$H$23,MIN(NonFormularyOOP,$J69*$H$23)*$F69),
      ""))),
    ""),
  0)</f>
        <v>0</v>
      </c>
      <c r="AL69" s="4">
        <f>IF(OR(AL$48&gt;=$H$6,$AO$48&gt;=$H$7),
    IF($D69=AL$46,
      IF($H69=Rates!$A$33,IF($H$21&gt;1,$F69*$H$21,MIN(GenericOOP,$J69*$H$21)*$F69),
      IF($H69=Rates!$A$34,IF($H$22&gt;1,$F69*$H$22,MIN(BrandOOP,$J69*$H$22)*$F69),
      IF($H69=Rates!$A$35,IF($H$23&gt;1,$F69*$H$23,MIN(NonFormularyOOP,$J69*$H$23)*$F69),
      ""))),
    ""),
  0)</f>
        <v>0</v>
      </c>
      <c r="AM69" s="4">
        <f>IF(OR(AM$48&gt;=$H$6,$AO$48&gt;=$H$7),
    IF($D69=AM$46,
      IF($H69=Rates!$A$33,IF($H$21&gt;1,$F69*$H$21,MIN(GenericOOP,$J69*$H$21)*$F69),
      IF($H69=Rates!$A$34,IF($H$22&gt;1,$F69*$H$22,MIN(BrandOOP,$J69*$H$22)*$F69),
      IF($H69=Rates!$A$35,IF($H$23&gt;1,$F69*$H$23,MIN(NonFormularyOOP,$J69*$H$23)*$F69),
      ""))),
    ""),
  0)</f>
        <v>0</v>
      </c>
      <c r="AN69" s="4">
        <f>IF(OR(AN$48&gt;=$H$6,$AO$48&gt;=$H$7),
    IF($D69=AN$46,
      IF($H69=Rates!$A$33,IF($H$21&gt;1,$F69*$H$21,MIN(GenericOOP,$J69*$H$21)*$F69),
      IF($H69=Rates!$A$34,IF($H$22&gt;1,$F69*$H$22,MIN(BrandOOP,$J69*$H$22)*$F69),
      IF($H69=Rates!$A$35,IF($H$23&gt;1,$F69*$H$23,MIN(NonFormularyOOP,$J69*$H$23)*$F69),
      ""))),
    ""),
  0)</f>
        <v>0</v>
      </c>
      <c r="AR69" s="4">
        <f>IF(OR(AR$48&gt;=$J$6,$AW$48&gt;=$J$7),
    IF($D69=AR$46,
      IF($H69=Rates!$A$33,IF($J$21&gt;1,$F69*$J$21,MIN(GenericOOP,$J69*$J$21)*$F69),
      IF($H69=Rates!$A$34,IF($J$22&gt;1,$F69*$J$22,MIN(BrandOOP,$J69*$J$22)*$F69),
      IF($H69=Rates!$A$35,IF($J$23&gt;1,$F69*$J$23,MIN(NonFormularyOOP,$J69*$J$23)*$F69),
      ""))),
    ""),
  0)</f>
        <v>0</v>
      </c>
      <c r="AS69" s="4">
        <f>IF(OR(AS$48&gt;=$J$6,$AW$48&gt;=$J$7),
    IF($D69=AS$46,
      IF($H69=Rates!$A$33,IF($J$21&gt;1,$F69*$J$21,MIN(GenericOOP,$J69*$J$21)*$F69),
      IF($H69=Rates!$A$34,IF($J$22&gt;1,$F69*$J$22,MIN(BrandOOP,$J69*$J$22)*$F69),
      IF($H69=Rates!$A$35,IF($J$23&gt;1,$F69*$J$23,MIN(NonFormularyOOP,$J69*$J$23)*$F69),
      ""))),
    ""),
  0)</f>
        <v>0</v>
      </c>
      <c r="AT69" s="4">
        <f>IF(OR(AT$48&gt;=$J$6,$AW$48&gt;=$J$7),
    IF($D69=AT$46,
      IF($H69=Rates!$A$33,IF($J$21&gt;1,$F69*$J$21,MIN(GenericOOP,$J69*$J$21)*$F69),
      IF($H69=Rates!$A$34,IF($J$22&gt;1,$F69*$J$22,MIN(BrandOOP,$J69*$J$22)*$F69),
      IF($H69=Rates!$A$35,IF($J$23&gt;1,$F69*$J$23,MIN(NonFormularyOOP,$J69*$J$23)*$F69),
      ""))),
    ""),
  0)</f>
        <v>0</v>
      </c>
      <c r="AU69" s="4">
        <f>IF(OR(AU$48&gt;=$J$6,$AW$48&gt;=$J$7),
    IF($D69=AU$46,
      IF($H69=Rates!$A$33,IF($J$21&gt;1,$F69*$J$21,MIN(GenericOOP,$J69*$J$21)*$F69),
      IF($H69=Rates!$A$34,IF($J$22&gt;1,$F69*$J$22,MIN(BrandOOP,$J69*$J$22)*$F69),
      IF($H69=Rates!$A$35,IF($J$23&gt;1,$F69*$J$23,MIN(NonFormularyOOP,$J69*$J$23)*$F69),
      ""))),
    ""),
  0)</f>
        <v>0</v>
      </c>
      <c r="AV69" s="4">
        <f>IF(OR(AV$48&gt;=$J$6,$AW$48&gt;=$J$7),
    IF($D69=AV$46,
      IF($H69=Rates!$A$33,IF($J$21&gt;1,$F69*$J$21,MIN(GenericOOP,$J69*$J$21)*$F69),
      IF($H69=Rates!$A$34,IF($J$22&gt;1,$F69*$J$22,MIN(BrandOOP,$J69*$J$22)*$F69),
      IF($H69=Rates!$A$35,IF($J$23&gt;1,$F69*$J$23,MIN(NonFormularyOOP,$J69*$J$23)*$F69),
      ""))),
    ""),
  0)</f>
        <v>0</v>
      </c>
      <c r="AW69" s="4">
        <f>IF(OR(AW$48&gt;=$J$6,$AW$48&gt;=$J$7),
    IF($D69=AW$46,
      IF($H69=Rates!$A$33,IF($J$21&gt;1,$F69*$J$21,MIN(GenericOOP,$J69*$J$21)*$F69),
      IF($H69=Rates!$A$34,IF($J$22&gt;1,$F69*$J$22,MIN(BrandOOP,$J69*$J$22)*$F69),
      IF($H69=Rates!$A$35,IF($J$23&gt;1,$F69*$J$23,MIN(NonFormularyOOP,$J69*$J$23)*$F69),
      ""))),
    ""),
  0)</f>
        <v>0</v>
      </c>
    </row>
    <row r="70" spans="1:49" x14ac:dyDescent="0.25">
      <c r="B70" s="96"/>
      <c r="D70" s="96"/>
      <c r="F70" s="96"/>
      <c r="H70" s="96"/>
      <c r="J70" s="97">
        <f t="shared" si="4"/>
        <v>0</v>
      </c>
      <c r="N70" s="13">
        <f t="shared" si="5"/>
        <v>0</v>
      </c>
      <c r="Q70" s="4" t="str">
        <f>IF($D$18="Yes",0,IF($D70=Q$46,IF($H70=Rates!A33,IF($D$21&gt;1,$F70*$D$21,MIN(GenericOOP,$J70*$D$21)*$F70),IF($H70=Rates!A34,IF($D$22&gt;1,$F70*$D$22,MIN(BrandOOP,$J70*$D$22)*$F70),IF($H70=Rates!A35,IF($D$23&gt;1,$F70*$D$23,MIN(NonFormularyOOP,$J70*$D$23)*$F70),""))),""))</f>
        <v/>
      </c>
      <c r="R70" s="4" t="str">
        <f>IF($D$18="Yes",0,IF($D70=R$46,IF($H70=Rates!A33,IF($D$21&gt;1,$F70*$D$21,MIN(GenericOOP,$J70*$D$21)*$F70),IF($H70=Rates!A34,IF($D$22&gt;1,$F70*$D$22,MIN(BrandOOP,$J70*$D$22)*$F70),IF($H70=Rates!A35,IF($D$23&gt;1,$F70*$D$23,MIN(NonFormularyOOP,$J70*$D$23)*$F70),""))),""))</f>
        <v/>
      </c>
      <c r="S70" s="4" t="str">
        <f>IF($D$18="Yes",0,IF($D70=S$46,IF($H70=Rates!A33,IF($D$21&gt;1,$F70*$D$21,MIN(GenericOOP,$J70*$D$21)*$F70),IF($H70=Rates!A34,IF($D$22&gt;1,$F70*$D$22,MIN(BrandOOP,$J70*$D$22)*$F70),IF($H70=Rates!A35,IF($D$23&gt;1,$F70*$D$23,MIN(NonFormularyOOP,$J70*$D$23)*$F70),""))),""))</f>
        <v/>
      </c>
      <c r="T70" s="4" t="str">
        <f>IF($D$18="Yes",0,IF($D70=T$46,IF($H70=Rates!A33,IF($D$21&gt;1,$F70*$D$21,MIN(GenericOOP,$J70*$D$21)*$F70),IF($H70=Rates!A34,IF($D$22&gt;1,$F70*$D$22,MIN(BrandOOP,$J70*$D$22)*$F70),IF($H70=Rates!A35,IF($D$23&gt;1,$F70*$D$23,MIN(NonFormularyOOP,$J70*$D$23)*$F70),""))),""))</f>
        <v/>
      </c>
      <c r="U70" s="4" t="str">
        <f>IF($D$18="Yes",0,IF($D70=U$46,IF($H70=Rates!A33,IF($D$21&gt;1,$F70*$D$21,MIN(GenericOOP,$J70*$D$21)*$F70),IF($H70=Rates!A34,IF($D$22&gt;1,$F70*$D$22,MIN(BrandOOP,$J70*$D$22)*$F70),IF($H70=Rates!A35,IF($D$23&gt;1,$F70*$D$23,MIN(NonFormularyOOP,$J70*$D$23)*$F70),""))),""))</f>
        <v/>
      </c>
      <c r="V70" s="4" t="str">
        <f>IF($D$18="Yes",0,IF($D70=V$46,IF($H70=Rates!A33,IF($D$21&gt;1,$F70*$D$21,MIN(GenericOOP,$J70*$D$21)*$F70),IF($H70=Rates!A34,IF($D$22&gt;1,$F70*$D$22,MIN(BrandOOP,$J70*$D$22)*$F70),IF($H70=Rates!A35,IF($D$23&gt;1,$F70*$D$23,MIN(NonFormularyOOP,$J70*$D$23)*$F70),""))),""))</f>
        <v/>
      </c>
      <c r="Z70" s="4" t="str">
        <f>IF($F$18="Yes",0,IF($D70=Z$46,IF($H70=Rates!A33,IF($F$21&gt;1,$F70*$F$21,MIN(GenericOOP,$J70*$F$21)*$F70),IF($H70=Rates!A34,IF($F$22&gt;1,$F70*$F$22,MIN(BrandOOP,$J70*$F$22)*$F70),IF($H70=Rates!A35,IF($F$23&gt;1,$F70*$F$23,MIN(NonFormularyOOP,$J70*$F$23)*$F70),""))),""))</f>
        <v/>
      </c>
      <c r="AA70" s="4" t="str">
        <f>IF($F$18="Yes",0,IF($D70=AA$46,IF($H70=Rates!A33,IF($F$21&gt;1,$F70*$F$21,MIN(GenericOOP,$J70*$F$21)*$F70),IF($H70=Rates!A34,IF($F$22&gt;1,$F70*$F$22,MIN(BrandOOP,$J70*$F$22)*$F70),IF($H70=Rates!A35,IF($F$23&gt;1,$F70*$F$23,MIN(NonFormularyOOP,$J70*$F$23)*$F70),""))),""))</f>
        <v/>
      </c>
      <c r="AB70" s="4" t="str">
        <f>IF($F$18="Yes",0,IF($D70=AB$46,IF($H70=Rates!A33,IF($F$21&gt;1,$F70*$F$21,MIN(GenericOOP,$J70*$F$21)*$F70),IF($H70=Rates!A34,IF($F$22&gt;1,$F70*$F$22,MIN(BrandOOP,$J70*$F$22)*$F70),IF($H70=Rates!A35,IF($F$23&gt;1,$F70*$F$23,MIN(NonFormularyOOP,$J70*$F$23)*$F70),""))),""))</f>
        <v/>
      </c>
      <c r="AC70" s="4" t="str">
        <f>IF($F$18="Yes",0,IF($D70=AC$46,IF($H70=Rates!A33,IF($F$21&gt;1,$F70*$F$21,MIN(GenericOOP,$J70*$F$21)*$F70),IF($H70=Rates!A34,IF($F$22&gt;1,$F70*$F$22,MIN(BrandOOP,$J70*$F$22)*$F70),IF($H70=Rates!A35,IF($F$23&gt;1,$F70*$F$23,MIN(NonFormularyOOP,$J70*$F$23)*$F70),""))),""))</f>
        <v/>
      </c>
      <c r="AD70" s="4" t="str">
        <f>IF($F$18="Yes",0,IF($D70=AD$46,IF($H70=Rates!A33,IF($F$21&gt;1,$F70*$F$21,MIN(GenericOOP,$J70*$F$21)*$F70),IF($H70=Rates!A34,IF($F$22&gt;1,$F70*$F$22,MIN(BrandOOP,$J70*$F$22)*$F70),IF($H70=Rates!A35,IF($F$23&gt;1,$F70*$F$23,MIN(NonFormularyOOP,$J70*$F$23)*$F70),""))),""))</f>
        <v/>
      </c>
      <c r="AE70" s="4" t="str">
        <f>IF($F$18="Yes",0,IF($D70=AE$46,IF($H70=Rates!A33,IF($F$21&gt;1,$F70*$F$21,MIN(GenericOOP,$J70*$F$21)*$F70),IF($H70=Rates!A34,IF($F$22&gt;1,$F70*$F$22,MIN(BrandOOP,$J70*$F$22)*$F70),IF($H70=Rates!A35,IF($F$23&gt;1,$F70*$F$23,MIN(NonFormularyOOP,$J70*$F$23)*$F70),""))),""))</f>
        <v/>
      </c>
      <c r="AI70" s="4">
        <f>IF(OR(AI$48&gt;=$H$6,$AO$48&gt;=$H$7),
    IF($D70=AI$46,
      IF($H70=Rates!$A$33,IF($H$21&gt;1,$F70*$H$21,MIN(GenericOOP,$J70*$H$21)*$F70),
      IF($H70=Rates!$A$34,IF($H$22&gt;1,$F70*$H$22,MIN(BrandOOP,$J70*$H$22)*$F70),
      IF($H70=Rates!$A$35,IF($H$23&gt;1,$F70*$H$23,MIN(NonFormularyOOP,$J70*$H$23)*$F70),
      ""))),
    ""),
  0)</f>
        <v>0</v>
      </c>
      <c r="AJ70" s="4">
        <f>IF(OR(AJ$48&gt;=$H$6,$AO$48&gt;=$H$7),
    IF($D70=AJ$46,
      IF($H70=Rates!$A$33,IF($H$21&gt;1,$F70*$H$21,MIN(GenericOOP,$J70*$H$21)*$F70),
      IF($H70=Rates!$A$34,IF($H$22&gt;1,$F70*$H$22,MIN(BrandOOP,$J70*$H$22)*$F70),
      IF($H70=Rates!$A$35,IF($H$23&gt;1,$F70*$H$23,MIN(NonFormularyOOP,$J70*$H$23)*$F70),
      ""))),
    ""),
  0)</f>
        <v>0</v>
      </c>
      <c r="AK70" s="4">
        <f>IF(OR(AK$48&gt;=$H$6,$AO$48&gt;=$H$7),
    IF($D70=AK$46,
      IF($H70=Rates!$A$33,IF($H$21&gt;1,$F70*$H$21,MIN(GenericOOP,$J70*$H$21)*$F70),
      IF($H70=Rates!$A$34,IF($H$22&gt;1,$F70*$H$22,MIN(BrandOOP,$J70*$H$22)*$F70),
      IF($H70=Rates!$A$35,IF($H$23&gt;1,$F70*$H$23,MIN(NonFormularyOOP,$J70*$H$23)*$F70),
      ""))),
    ""),
  0)</f>
        <v>0</v>
      </c>
      <c r="AL70" s="4">
        <f>IF(OR(AL$48&gt;=$H$6,$AO$48&gt;=$H$7),
    IF($D70=AL$46,
      IF($H70=Rates!$A$33,IF($H$21&gt;1,$F70*$H$21,MIN(GenericOOP,$J70*$H$21)*$F70),
      IF($H70=Rates!$A$34,IF($H$22&gt;1,$F70*$H$22,MIN(BrandOOP,$J70*$H$22)*$F70),
      IF($H70=Rates!$A$35,IF($H$23&gt;1,$F70*$H$23,MIN(NonFormularyOOP,$J70*$H$23)*$F70),
      ""))),
    ""),
  0)</f>
        <v>0</v>
      </c>
      <c r="AM70" s="4">
        <f>IF(OR(AM$48&gt;=$H$6,$AO$48&gt;=$H$7),
    IF($D70=AM$46,
      IF($H70=Rates!$A$33,IF($H$21&gt;1,$F70*$H$21,MIN(GenericOOP,$J70*$H$21)*$F70),
      IF($H70=Rates!$A$34,IF($H$22&gt;1,$F70*$H$22,MIN(BrandOOP,$J70*$H$22)*$F70),
      IF($H70=Rates!$A$35,IF($H$23&gt;1,$F70*$H$23,MIN(NonFormularyOOP,$J70*$H$23)*$F70),
      ""))),
    ""),
  0)</f>
        <v>0</v>
      </c>
      <c r="AN70" s="4">
        <f>IF(OR(AN$48&gt;=$H$6,$AO$48&gt;=$H$7),
    IF($D70=AN$46,
      IF($H70=Rates!$A$33,IF($H$21&gt;1,$F70*$H$21,MIN(GenericOOP,$J70*$H$21)*$F70),
      IF($H70=Rates!$A$34,IF($H$22&gt;1,$F70*$H$22,MIN(BrandOOP,$J70*$H$22)*$F70),
      IF($H70=Rates!$A$35,IF($H$23&gt;1,$F70*$H$23,MIN(NonFormularyOOP,$J70*$H$23)*$F70),
      ""))),
    ""),
  0)</f>
        <v>0</v>
      </c>
      <c r="AR70" s="4">
        <f>IF(OR(AR$48&gt;=$J$6,$AW$48&gt;=$J$7),
    IF($D70=AR$46,
      IF($H70=Rates!$A$33,IF($J$21&gt;1,$F70*$J$21,MIN(GenericOOP,$J70*$J$21)*$F70),
      IF($H70=Rates!$A$34,IF($J$22&gt;1,$F70*$J$22,MIN(BrandOOP,$J70*$J$22)*$F70),
      IF($H70=Rates!$A$35,IF($J$23&gt;1,$F70*$J$23,MIN(NonFormularyOOP,$J70*$J$23)*$F70),
      ""))),
    ""),
  0)</f>
        <v>0</v>
      </c>
      <c r="AS70" s="4">
        <f>IF(OR(AS$48&gt;=$J$6,$AW$48&gt;=$J$7),
    IF($D70=AS$46,
      IF($H70=Rates!$A$33,IF($J$21&gt;1,$F70*$J$21,MIN(GenericOOP,$J70*$J$21)*$F70),
      IF($H70=Rates!$A$34,IF($J$22&gt;1,$F70*$J$22,MIN(BrandOOP,$J70*$J$22)*$F70),
      IF($H70=Rates!$A$35,IF($J$23&gt;1,$F70*$J$23,MIN(NonFormularyOOP,$J70*$J$23)*$F70),
      ""))),
    ""),
  0)</f>
        <v>0</v>
      </c>
      <c r="AT70" s="4">
        <f>IF(OR(AT$48&gt;=$J$6,$AW$48&gt;=$J$7),
    IF($D70=AT$46,
      IF($H70=Rates!$A$33,IF($J$21&gt;1,$F70*$J$21,MIN(GenericOOP,$J70*$J$21)*$F70),
      IF($H70=Rates!$A$34,IF($J$22&gt;1,$F70*$J$22,MIN(BrandOOP,$J70*$J$22)*$F70),
      IF($H70=Rates!$A$35,IF($J$23&gt;1,$F70*$J$23,MIN(NonFormularyOOP,$J70*$J$23)*$F70),
      ""))),
    ""),
  0)</f>
        <v>0</v>
      </c>
      <c r="AU70" s="4">
        <f>IF(OR(AU$48&gt;=$J$6,$AW$48&gt;=$J$7),
    IF($D70=AU$46,
      IF($H70=Rates!$A$33,IF($J$21&gt;1,$F70*$J$21,MIN(GenericOOP,$J70*$J$21)*$F70),
      IF($H70=Rates!$A$34,IF($J$22&gt;1,$F70*$J$22,MIN(BrandOOP,$J70*$J$22)*$F70),
      IF($H70=Rates!$A$35,IF($J$23&gt;1,$F70*$J$23,MIN(NonFormularyOOP,$J70*$J$23)*$F70),
      ""))),
    ""),
  0)</f>
        <v>0</v>
      </c>
      <c r="AV70" s="4">
        <f>IF(OR(AV$48&gt;=$J$6,$AW$48&gt;=$J$7),
    IF($D70=AV$46,
      IF($H70=Rates!$A$33,IF($J$21&gt;1,$F70*$J$21,MIN(GenericOOP,$J70*$J$21)*$F70),
      IF($H70=Rates!$A$34,IF($J$22&gt;1,$F70*$J$22,MIN(BrandOOP,$J70*$J$22)*$F70),
      IF($H70=Rates!$A$35,IF($J$23&gt;1,$F70*$J$23,MIN(NonFormularyOOP,$J70*$J$23)*$F70),
      ""))),
    ""),
  0)</f>
        <v>0</v>
      </c>
      <c r="AW70" s="4">
        <f>IF(OR(AW$48&gt;=$J$6,$AW$48&gt;=$J$7),
    IF($D70=AW$46,
      IF($H70=Rates!$A$33,IF($J$21&gt;1,$F70*$J$21,MIN(GenericOOP,$J70*$J$21)*$F70),
      IF($H70=Rates!$A$34,IF($J$22&gt;1,$F70*$J$22,MIN(BrandOOP,$J70*$J$22)*$F70),
      IF($H70=Rates!$A$35,IF($J$23&gt;1,$F70*$J$23,MIN(NonFormularyOOP,$J70*$J$23)*$F70),
      ""))),
    ""),
  0)</f>
        <v>0</v>
      </c>
    </row>
    <row r="72" spans="1:49" ht="17.25" x14ac:dyDescent="0.3">
      <c r="A72" s="9" t="s">
        <v>44</v>
      </c>
      <c r="B72" s="10"/>
      <c r="C72" s="10"/>
      <c r="D72" s="10"/>
      <c r="E72" s="10"/>
      <c r="F72" s="10"/>
      <c r="G72" s="10"/>
      <c r="H72" s="10"/>
      <c r="I72" s="10"/>
      <c r="J72" s="10"/>
      <c r="K72" s="10"/>
      <c r="L72" s="10"/>
      <c r="M72" s="10"/>
      <c r="N72" s="10"/>
    </row>
    <row r="73" spans="1:49" ht="30" customHeight="1" thickBot="1" x14ac:dyDescent="0.3"/>
    <row r="74" spans="1:49" ht="15" customHeight="1" thickTop="1" thickBot="1" x14ac:dyDescent="0.3">
      <c r="A74" s="22"/>
      <c r="B74" s="23"/>
      <c r="C74" s="23"/>
      <c r="D74" s="102" t="str">
        <f>D4</f>
        <v>Opt 1 $1,500</v>
      </c>
      <c r="E74" s="23"/>
      <c r="F74" s="102" t="str">
        <f>F4</f>
        <v>Opt 2 $2,500</v>
      </c>
      <c r="G74" s="23"/>
      <c r="H74" s="102" t="str">
        <f>H4</f>
        <v>Opt 3 $3,500 HSA</v>
      </c>
      <c r="I74" s="23"/>
      <c r="J74" s="103" t="str">
        <f>J4</f>
        <v>Opt 4 $5,000 HSA</v>
      </c>
    </row>
    <row r="75" spans="1:49" ht="12" customHeight="1" x14ac:dyDescent="0.25">
      <c r="A75" s="131" t="s">
        <v>45</v>
      </c>
      <c r="B75" s="122"/>
      <c r="C75" s="24"/>
      <c r="D75" s="26" t="str">
        <f>IF($H$29&lt;&gt;"",IF(OR(ISERROR(VLOOKUP($H$29,RateLookup,3,0)),VLOOKUP($H$29,RateLookup,3,0)=0),"",VLOOKUP($H$29,RateLookup,3,0)*12),"")</f>
        <v/>
      </c>
      <c r="E75" s="27"/>
      <c r="F75" s="26" t="str">
        <f>IF($H$29&lt;&gt;"",IF(OR(ISERROR(VLOOKUP($H$29,RateLookup,5,0)),VLOOKUP($H$29,RateLookup,5,0)=0),"",VLOOKUP($H$29,RateLookup,5,0)*12),"")</f>
        <v/>
      </c>
      <c r="G75" s="27"/>
      <c r="H75" s="26" t="str">
        <f>IF($H$29&lt;&gt;"",IF(OR(ISERROR(VLOOKUP($H$29,RateLookup,7,0)),VLOOKUP($H$29,RateLookup,7,0)=0),"",VLOOKUP($H$29,RateLookup,7,0)*12),"")</f>
        <v/>
      </c>
      <c r="I75" s="24"/>
      <c r="J75" s="104" t="str">
        <f>IF($H$29&lt;&gt;"",IF(OR(ISERROR(VLOOKUP($H$29,RateLookup,9,0)),VLOOKUP($H$29,RateLookup,9,0)=0),"",VLOOKUP($H$29,RateLookup,9,0)*12),"")</f>
        <v/>
      </c>
    </row>
    <row r="76" spans="1:49" ht="12" customHeight="1" x14ac:dyDescent="0.25">
      <c r="A76" s="148" t="s">
        <v>47</v>
      </c>
      <c r="B76" s="126"/>
      <c r="C76" s="24"/>
      <c r="D76" s="28" t="str">
        <f>IF(D75&lt;&gt;"",W48,"")</f>
        <v/>
      </c>
      <c r="E76" s="27"/>
      <c r="F76" s="28" t="str">
        <f>IF(F75&lt;&gt;"",AF48,"")</f>
        <v/>
      </c>
      <c r="G76" s="27"/>
      <c r="H76" s="28" t="str">
        <f>IF(H75&lt;&gt;"",AO48,"")</f>
        <v/>
      </c>
      <c r="I76" s="24"/>
      <c r="J76" s="105" t="str">
        <f>IF(J75&lt;&gt;"",AX48,"")</f>
        <v/>
      </c>
    </row>
    <row r="77" spans="1:49" ht="12" customHeight="1" x14ac:dyDescent="0.25">
      <c r="A77" s="127" t="s">
        <v>48</v>
      </c>
      <c r="B77" s="128"/>
      <c r="C77" s="24"/>
      <c r="D77" s="29" t="str">
        <f>IF(D75&lt;&gt;"",W49,"")</f>
        <v/>
      </c>
      <c r="E77" s="27"/>
      <c r="F77" s="29" t="str">
        <f>IF(F75&lt;&gt;"",AF49,"")</f>
        <v/>
      </c>
      <c r="G77" s="27"/>
      <c r="H77" s="29" t="str">
        <f>IF(H75&lt;&gt;"",AO49,"")</f>
        <v/>
      </c>
      <c r="I77" s="24"/>
      <c r="J77" s="106" t="str">
        <f>IF(J75&lt;&gt;"",AX49,"")</f>
        <v/>
      </c>
    </row>
    <row r="78" spans="1:49" ht="12" customHeight="1" x14ac:dyDescent="0.25">
      <c r="A78" s="129" t="s">
        <v>49</v>
      </c>
      <c r="B78" s="130"/>
      <c r="C78" s="24"/>
      <c r="D78" s="30" t="str">
        <f>IF(D75&lt;&gt;"",$W$53,"")</f>
        <v/>
      </c>
      <c r="E78" s="27"/>
      <c r="F78" s="30" t="str">
        <f>IF(F75&lt;&gt;"",$AF$53,"")</f>
        <v/>
      </c>
      <c r="G78" s="27"/>
      <c r="H78" s="30" t="str">
        <f>IF(H75&lt;&gt;"",$AO$53,"")</f>
        <v/>
      </c>
      <c r="I78" s="24"/>
      <c r="J78" s="107" t="str">
        <f>IF(J75&lt;&gt;"",$AX$53,"")</f>
        <v/>
      </c>
    </row>
    <row r="79" spans="1:49" ht="12" customHeight="1" thickBot="1" x14ac:dyDescent="0.3">
      <c r="A79" s="124" t="s">
        <v>50</v>
      </c>
      <c r="B79" s="125"/>
      <c r="C79" s="24"/>
      <c r="D79" s="118" t="str">
        <f>IF($D$5="Yes",IF(ISERROR(VLOOKUP($H$29,RateLookup,11,0)),0,VLOOKUP($H$29,RateLookup,11,0)),"")</f>
        <v/>
      </c>
      <c r="E79" s="27"/>
      <c r="F79" s="118" t="str">
        <f>IF($F$5="Yes",IF(ISERROR(VLOOKUP($H$29,RateLookup,11,0)),0,VLOOKUP($H$29,RateLookup,11,0)),"")</f>
        <v/>
      </c>
      <c r="G79" s="27"/>
      <c r="H79" s="31">
        <f>IF($H$5="Yes",IF(ISERROR(VLOOKUP($H$29,RateLookup,11,0)),0,VLOOKUP($H$29,RateLookup,11,0)),"")</f>
        <v>0</v>
      </c>
      <c r="I79" s="24"/>
      <c r="J79" s="108">
        <f>IF($J$5="Yes",IF(ISERROR(VLOOKUP($H$29,RateLookup,11,0)),0,VLOOKUP($H$29,RateLookup,11,0)),"")</f>
        <v>0</v>
      </c>
    </row>
    <row r="80" spans="1:49" ht="12" customHeight="1" thickTop="1" thickBot="1" x14ac:dyDescent="0.3">
      <c r="A80" s="149" t="s">
        <v>85</v>
      </c>
      <c r="B80" s="150"/>
      <c r="C80" s="24"/>
      <c r="D80" s="42" t="str">
        <f>IF(AND($H$29&lt;&gt;"",$D$75&lt;&gt;""),SUM(D76:D78,IF($D$79&lt;&gt;"",-$D$79,0)),"")</f>
        <v/>
      </c>
      <c r="E80" s="27"/>
      <c r="F80" s="42" t="str">
        <f>IF(AND($H$29&lt;&gt;"",$F$75&lt;&gt;""),SUM(F76:F78,IF($F$79&lt;&gt;"",-$F$79,0)),"")</f>
        <v/>
      </c>
      <c r="G80" s="27"/>
      <c r="H80" s="42" t="str">
        <f>IF(AND($H$29&lt;&gt;"",$H$75&lt;&gt;""),SUM(H76:H78,IF($H$79&lt;&gt;"",-$H$79,0)),"")</f>
        <v/>
      </c>
      <c r="I80" s="24"/>
      <c r="J80" s="109" t="str">
        <f>IF(AND($H$29&lt;&gt;"",$J$75&lt;&gt;""),SUM(J76:J78,IF($J$79&lt;&gt;"",-$J$79,0)),"")</f>
        <v/>
      </c>
    </row>
    <row r="81" spans="1:10" ht="12" customHeight="1" thickTop="1" thickBot="1" x14ac:dyDescent="0.3">
      <c r="A81" s="155" t="s">
        <v>86</v>
      </c>
      <c r="B81" s="156"/>
      <c r="C81" s="24"/>
      <c r="D81" s="32" t="str">
        <f>IF(AND($H$29&lt;&gt;"",$D$75&lt;&gt;""),SUM(D75:D78,IF($D$79&lt;&gt;"",-$D$79,0)),"")</f>
        <v/>
      </c>
      <c r="E81" s="27"/>
      <c r="F81" s="32" t="str">
        <f>IF(AND($H$29&lt;&gt;"",$F$75&lt;&gt;""),SUM(F75:F78,IF($F$79&lt;&gt;"",-$F$79,0)),"")</f>
        <v/>
      </c>
      <c r="G81" s="27"/>
      <c r="H81" s="32" t="str">
        <f>IF($H$29="","",MAX(H75,H75+H76+H77+H78-H79))</f>
        <v/>
      </c>
      <c r="I81" s="24"/>
      <c r="J81" s="110" t="str">
        <f>IF($H$29="","",MAX(J75,J75+J76+J77+J78-J79))</f>
        <v/>
      </c>
    </row>
    <row r="82" spans="1:10" ht="12" customHeight="1" thickTop="1" x14ac:dyDescent="0.25">
      <c r="A82" s="152" t="s">
        <v>100</v>
      </c>
      <c r="B82" s="141"/>
      <c r="C82" s="24"/>
      <c r="D82" s="33"/>
      <c r="E82" s="27"/>
      <c r="F82" s="34" t="str">
        <f>IF(AND($D$81&lt;&gt;"",F81&lt;&gt;""),F81-$D$81,"")</f>
        <v/>
      </c>
      <c r="G82" s="27"/>
      <c r="H82" s="34" t="str">
        <f>IF(AND($D$81&lt;&gt;"",H81&lt;&gt;""),H81-$D$81,"")</f>
        <v/>
      </c>
      <c r="I82" s="24"/>
      <c r="J82" s="111" t="str">
        <f>IF(AND($D$81&lt;&gt;"",J81&lt;&gt;""),J81-$D$81,"")</f>
        <v/>
      </c>
    </row>
    <row r="83" spans="1:10" ht="12" customHeight="1" x14ac:dyDescent="0.25">
      <c r="A83" s="152" t="s">
        <v>101</v>
      </c>
      <c r="B83" s="141"/>
      <c r="C83" s="24"/>
      <c r="D83" s="35" t="str">
        <f>IF(AND($F$81&lt;&gt;"",D81&lt;&gt;""),D81-$F$81,"")</f>
        <v/>
      </c>
      <c r="E83" s="27"/>
      <c r="F83" s="36"/>
      <c r="G83" s="27"/>
      <c r="H83" s="34" t="str">
        <f>IF(AND($F$81&lt;&gt;"",H82&lt;&gt;""),H81-$F$81,"")</f>
        <v/>
      </c>
      <c r="I83" s="24"/>
      <c r="J83" s="111" t="str">
        <f>IF(AND($F$81&lt;&gt;"",J82&lt;&gt;""),J82-$F$81,"")</f>
        <v/>
      </c>
    </row>
    <row r="84" spans="1:10" ht="12" customHeight="1" x14ac:dyDescent="0.25">
      <c r="A84" s="152" t="s">
        <v>102</v>
      </c>
      <c r="B84" s="141"/>
      <c r="C84" s="24"/>
      <c r="D84" s="35" t="str">
        <f>IF(AND($H$81&lt;&gt;"",D81&lt;&gt;""),D81-$H$81,"")</f>
        <v/>
      </c>
      <c r="E84" s="27"/>
      <c r="F84" s="35" t="str">
        <f>IF(AND($H$81&lt;&gt;"",F81&lt;&gt;""),F81-$H$81,"")</f>
        <v/>
      </c>
      <c r="G84" s="27"/>
      <c r="H84" s="115"/>
      <c r="I84" s="24"/>
      <c r="J84" s="112" t="str">
        <f>IF(AND($H$81&lt;&gt;"",J81&lt;&gt;""),J81-$H$81,"")</f>
        <v/>
      </c>
    </row>
    <row r="85" spans="1:10" ht="12" customHeight="1" x14ac:dyDescent="0.25">
      <c r="A85" s="124" t="s">
        <v>103</v>
      </c>
      <c r="B85" s="125"/>
      <c r="C85" s="24"/>
      <c r="D85" s="37" t="str">
        <f>IF(AND($J$81&lt;&gt;"",D81&lt;&gt;""),D81-$J$81,"")</f>
        <v/>
      </c>
      <c r="E85" s="27"/>
      <c r="F85" s="37" t="str">
        <f>IF(AND($J$81&lt;&gt;"",F81&lt;&gt;""),F81-$J$81,"")</f>
        <v/>
      </c>
      <c r="G85" s="27"/>
      <c r="H85" s="37" t="str">
        <f>IF(AND($J$81&lt;&gt;"",H81&lt;&gt;""),H81-$J$81,"")</f>
        <v/>
      </c>
      <c r="I85" s="24"/>
      <c r="J85" s="116"/>
    </row>
    <row r="86" spans="1:10" ht="12" customHeight="1" x14ac:dyDescent="0.25">
      <c r="A86" s="151" t="s">
        <v>53</v>
      </c>
      <c r="B86" s="142"/>
      <c r="C86" s="24"/>
      <c r="D86" s="38" t="str">
        <f>IF(AND($H$29&lt;&gt;"",D75&lt;&gt;""),MIN(2700,SUM(D76:D78,IF(D79&lt;&gt;"",-D79,0),IF(D87&lt;&gt;"",-D87,0))),"")</f>
        <v/>
      </c>
      <c r="E86" s="27"/>
      <c r="F86" s="38" t="str">
        <f>IF(AND($H$29&lt;&gt;"",F75&lt;&gt;""),MIN(2700,SUM(F76:F78,IF(F79&lt;&gt;"",-F79,0),IF(F87&lt;&gt;"",-F87,0))),"")</f>
        <v/>
      </c>
      <c r="G86" s="27"/>
      <c r="H86" s="72"/>
      <c r="I86" s="24"/>
      <c r="J86" s="113"/>
    </row>
    <row r="87" spans="1:10" ht="12" customHeight="1" thickBot="1" x14ac:dyDescent="0.3">
      <c r="A87" s="153" t="s">
        <v>54</v>
      </c>
      <c r="B87" s="154"/>
      <c r="C87" s="25"/>
      <c r="D87" s="117" t="str">
        <f>IF(AND($H$29&lt;&gt;"",D5="Yes"),IF($H$29="Employee Only",MIN(Rates!$K$9+$Q$31,SUM(D76:D78)-D79),MIN(Rates!$K$10+$Q$31,SUM(D76:D78)-D79)),"")</f>
        <v/>
      </c>
      <c r="E87" s="40"/>
      <c r="F87" s="117" t="str">
        <f>IF(AND($H$29&lt;&gt;"",F5="Yes"),IF($H$29="Employee Only",MIN(Rates!$K$9+$Q$31,SUM(F76:F78)-F79),MIN(Rates!$K$10+$Q$31,SUM(F76:F78)-F79)),"")</f>
        <v/>
      </c>
      <c r="G87" s="40"/>
      <c r="H87" s="39" t="str">
        <f>IF(AND($H$29&lt;&gt;"",H5="Yes"),IF($H$29="Employee Only",MIN(Rates!$K$9+$Q$31,SUM(H76:H78)-H79),MIN(Rates!$K$10+$Q$31,SUM(H76:H78)-H79)),"")</f>
        <v/>
      </c>
      <c r="I87" s="25"/>
      <c r="J87" s="114" t="str">
        <f>IF(AND($H$29&lt;&gt;"",J5="Yes"),IF($H$29="Employee Only",MIN(Rates!$K$9+$Q$31,SUM(J76:J78)-J79),MIN(Rates!$K$10+$Q$31,SUM(J76:J78)-J79)),"")</f>
        <v/>
      </c>
    </row>
    <row r="88" spans="1:10" ht="11.25" customHeight="1" thickTop="1" x14ac:dyDescent="0.25"/>
    <row r="89" spans="1:10" ht="15" hidden="1" customHeight="1" thickTop="1" thickBot="1" x14ac:dyDescent="0.3">
      <c r="A89" s="22"/>
      <c r="B89" s="23"/>
      <c r="C89" s="23"/>
      <c r="D89" s="102" t="str">
        <f>D74</f>
        <v>Opt 1 $1,500</v>
      </c>
      <c r="E89" s="23"/>
      <c r="F89" s="102" t="str">
        <f>F74</f>
        <v>Opt 2 $2,500</v>
      </c>
      <c r="G89" s="69"/>
      <c r="H89" s="65"/>
    </row>
    <row r="90" spans="1:10" ht="12" hidden="1" customHeight="1" x14ac:dyDescent="0.25">
      <c r="A90" s="89" t="s">
        <v>45</v>
      </c>
      <c r="B90" s="90"/>
      <c r="C90" s="24"/>
      <c r="D90" s="26" t="str">
        <f>IF($H$29&lt;&gt;"",IF(OR(ISERROR(VLOOKUP($H$29,RateLookup2,3,0)),VLOOKUP($H$29,RateLookup2,3,0)=0),"",VLOOKUP($H$29,RateLookup2,3,0)*12),"")</f>
        <v/>
      </c>
      <c r="E90" s="27"/>
      <c r="F90" s="26" t="str">
        <f>IF($H$29&lt;&gt;"",IF(OR(ISERROR(VLOOKUP($H$29,RateLookup2,5,0)),VLOOKUP($H$29,RateLookup2,5,0)=0),"",VLOOKUP($H$29,RateLookup2,5,0)*12),"")</f>
        <v/>
      </c>
      <c r="G90" s="70"/>
      <c r="H90" s="66"/>
    </row>
    <row r="91" spans="1:10" ht="12" hidden="1" customHeight="1" x14ac:dyDescent="0.25">
      <c r="A91" s="77" t="s">
        <v>47</v>
      </c>
      <c r="B91" s="78"/>
      <c r="C91" s="24"/>
      <c r="D91" s="28" t="str">
        <f>IF(D90&lt;&gt;"",W48,"")</f>
        <v/>
      </c>
      <c r="E91" s="27"/>
      <c r="F91" s="28" t="str">
        <f>IF(F90&lt;&gt;"",AF48,"")</f>
        <v/>
      </c>
      <c r="G91" s="70"/>
      <c r="H91" s="66"/>
    </row>
    <row r="92" spans="1:10" ht="12" hidden="1" customHeight="1" x14ac:dyDescent="0.25">
      <c r="A92" s="91" t="s">
        <v>48</v>
      </c>
      <c r="B92" s="92"/>
      <c r="C92" s="24"/>
      <c r="D92" s="29" t="str">
        <f>IF(D90&lt;&gt;"",W49,"")</f>
        <v/>
      </c>
      <c r="E92" s="27"/>
      <c r="F92" s="29" t="str">
        <f>IF(F90&lt;&gt;"",AF49,"")</f>
        <v/>
      </c>
      <c r="G92" s="70"/>
      <c r="H92" s="66"/>
    </row>
    <row r="93" spans="1:10" ht="12" hidden="1" customHeight="1" x14ac:dyDescent="0.25">
      <c r="A93" s="85" t="s">
        <v>49</v>
      </c>
      <c r="B93" s="86"/>
      <c r="C93" s="24"/>
      <c r="D93" s="30" t="str">
        <f>IF(D90&lt;&gt;"",$W$53,"")</f>
        <v/>
      </c>
      <c r="E93" s="27"/>
      <c r="F93" s="30" t="str">
        <f>IF(F90&lt;&gt;"",$AF$53,"")</f>
        <v/>
      </c>
      <c r="G93" s="70"/>
      <c r="H93" s="66"/>
    </row>
    <row r="94" spans="1:10" ht="12" hidden="1" customHeight="1" thickBot="1" x14ac:dyDescent="0.3">
      <c r="A94" s="83" t="s">
        <v>50</v>
      </c>
      <c r="B94" s="84"/>
      <c r="C94" s="24"/>
      <c r="D94" s="31" t="str">
        <f>IF($D$5="Yes",IF(ISERROR(VLOOKUP($H$29,RateLookup,11,0)),0,VLOOKUP($H$29,RateLookup,11,0)),"")</f>
        <v/>
      </c>
      <c r="E94" s="27"/>
      <c r="F94" s="31" t="str">
        <f>IF($F$5="Yes",IF(ISERROR(VLOOKUP($H$29,RateLookup,11,0)),0,VLOOKUP($H$29,RateLookup,11,0)),"")</f>
        <v/>
      </c>
      <c r="G94" s="70"/>
      <c r="H94" s="66"/>
    </row>
    <row r="95" spans="1:10" ht="12" hidden="1" customHeight="1" thickTop="1" thickBot="1" x14ac:dyDescent="0.3">
      <c r="A95" s="81" t="s">
        <v>85</v>
      </c>
      <c r="B95" s="82"/>
      <c r="C95" s="24"/>
      <c r="D95" s="42" t="str">
        <f>IF(AND($H$29&lt;&gt;"",$D$90&lt;&gt;""),SUM(D91:D93,IF($D$94&lt;&gt;"",-$D$94,0)),"")</f>
        <v/>
      </c>
      <c r="E95" s="27"/>
      <c r="F95" s="42" t="str">
        <f>IF(AND($H$29&lt;&gt;"",$F$90&lt;&gt;""),SUM(F91:F93,IF($F$94&lt;&gt;"",-$F$94,0)),"")</f>
        <v/>
      </c>
      <c r="G95" s="70"/>
      <c r="H95" s="66"/>
    </row>
    <row r="96" spans="1:10" ht="12" hidden="1" customHeight="1" thickTop="1" thickBot="1" x14ac:dyDescent="0.3">
      <c r="A96" s="87" t="s">
        <v>86</v>
      </c>
      <c r="B96" s="88"/>
      <c r="C96" s="24"/>
      <c r="D96" s="32" t="str">
        <f>IF(AND($H$29&lt;&gt;"",$D$90&lt;&gt;""),SUM(D90:D93,IF($D$94&lt;&gt;"",-$D$94,0)),"")</f>
        <v/>
      </c>
      <c r="E96" s="27"/>
      <c r="F96" s="32" t="str">
        <f>IF(AND($H$29&lt;&gt;"",$F$90&lt;&gt;""),SUM(F90:F93,IF($F$94&lt;&gt;"",-$F$94,0)),"")</f>
        <v/>
      </c>
      <c r="G96" s="70"/>
      <c r="H96" s="66"/>
    </row>
    <row r="97" spans="1:14" ht="12" hidden="1" customHeight="1" thickTop="1" x14ac:dyDescent="0.25">
      <c r="A97" s="79" t="s">
        <v>78</v>
      </c>
      <c r="B97" s="80"/>
      <c r="C97" s="24"/>
      <c r="D97" s="33"/>
      <c r="E97" s="27"/>
      <c r="F97" s="34" t="str">
        <f>IF(AND($D$81&lt;&gt;"",F96&lt;&gt;""),F96-$D$96,"")</f>
        <v/>
      </c>
      <c r="G97" s="70"/>
      <c r="H97" s="68"/>
    </row>
    <row r="98" spans="1:14" ht="12" hidden="1" customHeight="1" x14ac:dyDescent="0.25">
      <c r="A98" s="79" t="s">
        <v>79</v>
      </c>
      <c r="B98" s="80"/>
      <c r="C98" s="24"/>
      <c r="D98" s="35" t="str">
        <f>IF(AND($F$81&lt;&gt;"",D96&lt;&gt;""),D96-$F$96,"")</f>
        <v/>
      </c>
      <c r="E98" s="27"/>
      <c r="F98" s="36"/>
      <c r="G98" s="70"/>
      <c r="H98" s="68"/>
    </row>
    <row r="99" spans="1:14" ht="12" hidden="1" customHeight="1" x14ac:dyDescent="0.25">
      <c r="A99" s="79" t="s">
        <v>80</v>
      </c>
      <c r="B99" s="80"/>
      <c r="C99" s="24"/>
      <c r="D99" s="35" t="str">
        <f>IF(AND($H$81&lt;&gt;"",D96&lt;&gt;""),D96-$H$96,"")</f>
        <v/>
      </c>
      <c r="E99" s="27"/>
      <c r="F99" s="35" t="str">
        <f>IF(AND($H$81&lt;&gt;"",F96&lt;&gt;""),F96-$H$96,"")</f>
        <v/>
      </c>
      <c r="G99" s="70"/>
      <c r="H99" s="66"/>
    </row>
    <row r="100" spans="1:14" ht="12" hidden="1" customHeight="1" x14ac:dyDescent="0.25">
      <c r="A100" s="83" t="s">
        <v>51</v>
      </c>
      <c r="B100" s="84"/>
      <c r="C100" s="24"/>
      <c r="D100" s="37" t="str">
        <f>IF(AND($J$81&lt;&gt;"",D96&lt;&gt;""),D96-$J$81,"")</f>
        <v/>
      </c>
      <c r="E100" s="27"/>
      <c r="F100" s="37" t="str">
        <f>IF(AND($J$81&lt;&gt;"",F96&lt;&gt;""),F96-$J$81,"")</f>
        <v/>
      </c>
      <c r="G100" s="70"/>
      <c r="H100" s="68"/>
    </row>
    <row r="101" spans="1:14" ht="12" hidden="1" customHeight="1" x14ac:dyDescent="0.25">
      <c r="A101" s="73" t="s">
        <v>53</v>
      </c>
      <c r="B101" s="74"/>
      <c r="C101" s="24"/>
      <c r="D101" s="38" t="str">
        <f>IF(AND($H$29&lt;&gt;"",D90&lt;&gt;""),MIN(2500,SUM(D91:D93,IF(D94&lt;&gt;"",-D94,0),IF(D102&lt;&gt;"",-D102,0))),"")</f>
        <v/>
      </c>
      <c r="E101" s="27"/>
      <c r="F101" s="72"/>
      <c r="G101" s="70"/>
      <c r="H101" s="66"/>
    </row>
    <row r="102" spans="1:14" ht="12" hidden="1" customHeight="1" thickBot="1" x14ac:dyDescent="0.3">
      <c r="A102" s="75" t="s">
        <v>54</v>
      </c>
      <c r="B102" s="76"/>
      <c r="C102" s="25"/>
      <c r="D102" s="39" t="str">
        <f>IF(AND($H$29&lt;&gt;"",D19="Yes"),IF($H$29="Employee Only",MIN(Rates!$K$9+$Q$31,SUM(D91:D93)-D94),MIN(Rates!$K$10+$Q$31,SUM(D91:D93)-D94)),"")</f>
        <v/>
      </c>
      <c r="E102" s="40"/>
      <c r="F102" s="39" t="str">
        <f>IF(AND($H$29&lt;&gt;"",F5="Yes"),IF($H$29="Employee Only",MIN(Rates!$K$9+$Q$31,SUM(F91:F93)-F94),MIN(Rates!$K$10+$Q$31,SUM(F91:F93)-F94)),"")</f>
        <v/>
      </c>
      <c r="G102" s="71"/>
      <c r="H102" s="66"/>
    </row>
    <row r="103" spans="1:14" ht="81" customHeight="1" x14ac:dyDescent="0.25">
      <c r="A103" s="147" t="s">
        <v>104</v>
      </c>
      <c r="B103" s="147"/>
      <c r="C103" s="147"/>
      <c r="D103" s="147"/>
      <c r="E103" s="147"/>
      <c r="F103" s="147"/>
      <c r="G103" s="147"/>
      <c r="H103" s="147"/>
      <c r="I103" s="147"/>
      <c r="J103" s="147"/>
      <c r="K103" s="119"/>
      <c r="L103" s="119"/>
    </row>
    <row r="104" spans="1:14" x14ac:dyDescent="0.25">
      <c r="A104" s="64"/>
      <c r="B104" s="64"/>
      <c r="C104" s="64"/>
      <c r="D104" s="65"/>
      <c r="E104" s="64"/>
      <c r="F104" s="65"/>
      <c r="G104" s="64"/>
      <c r="H104" s="65"/>
      <c r="I104" s="64"/>
      <c r="J104" s="64"/>
      <c r="K104" s="64"/>
      <c r="L104" s="64"/>
      <c r="M104" s="64"/>
      <c r="N104" s="64"/>
    </row>
    <row r="105" spans="1:14" ht="12" customHeight="1" x14ac:dyDescent="0.25">
      <c r="A105" s="146"/>
      <c r="B105" s="146"/>
      <c r="C105" s="64"/>
      <c r="D105" s="66"/>
      <c r="E105" s="67"/>
      <c r="F105" s="66"/>
      <c r="G105" s="67"/>
      <c r="H105" s="66"/>
      <c r="I105" s="64"/>
      <c r="J105" s="64"/>
      <c r="K105" s="64"/>
      <c r="L105" s="64"/>
      <c r="M105" s="64"/>
      <c r="N105" s="64"/>
    </row>
    <row r="106" spans="1:14" ht="12" customHeight="1" x14ac:dyDescent="0.25">
      <c r="A106" s="146"/>
      <c r="B106" s="146"/>
      <c r="C106" s="64"/>
      <c r="D106" s="66"/>
      <c r="E106" s="67"/>
      <c r="F106" s="66"/>
      <c r="G106" s="67"/>
      <c r="H106" s="66"/>
      <c r="I106" s="64"/>
      <c r="J106" s="64"/>
      <c r="K106" s="64"/>
      <c r="L106" s="64"/>
      <c r="M106" s="64"/>
      <c r="N106" s="64"/>
    </row>
    <row r="107" spans="1:14" ht="12" customHeight="1" x14ac:dyDescent="0.25">
      <c r="A107" s="146"/>
      <c r="B107" s="146"/>
      <c r="C107" s="64"/>
      <c r="D107" s="66"/>
      <c r="E107" s="67"/>
      <c r="F107" s="66"/>
      <c r="G107" s="67"/>
      <c r="H107" s="66"/>
      <c r="I107" s="64"/>
      <c r="J107" s="64"/>
      <c r="K107" s="64"/>
      <c r="L107" s="64"/>
      <c r="M107" s="64"/>
      <c r="N107" s="64"/>
    </row>
    <row r="108" spans="1:14" ht="12" customHeight="1" x14ac:dyDescent="0.25">
      <c r="A108" s="146"/>
      <c r="B108" s="146"/>
      <c r="C108" s="64"/>
      <c r="D108" s="66"/>
      <c r="E108" s="67"/>
      <c r="F108" s="66"/>
      <c r="G108" s="67"/>
      <c r="H108" s="66"/>
      <c r="I108" s="64"/>
      <c r="J108" s="64"/>
      <c r="K108" s="64"/>
      <c r="L108" s="64"/>
      <c r="M108" s="64"/>
      <c r="N108" s="64"/>
    </row>
    <row r="109" spans="1:14" ht="12" customHeight="1" x14ac:dyDescent="0.25">
      <c r="A109" s="146"/>
      <c r="B109" s="146"/>
      <c r="C109" s="64"/>
      <c r="D109" s="66"/>
      <c r="E109" s="67"/>
      <c r="F109" s="66"/>
      <c r="G109" s="67"/>
      <c r="H109" s="66"/>
      <c r="I109" s="64"/>
      <c r="J109" s="64"/>
      <c r="K109" s="64"/>
      <c r="L109" s="64"/>
      <c r="M109" s="64"/>
      <c r="N109" s="64"/>
    </row>
    <row r="110" spans="1:14" ht="12" customHeight="1" x14ac:dyDescent="0.25">
      <c r="A110" s="146"/>
      <c r="B110" s="146"/>
      <c r="C110" s="64"/>
      <c r="D110" s="66"/>
      <c r="E110" s="67"/>
      <c r="F110" s="66"/>
      <c r="G110" s="67"/>
      <c r="H110" s="66"/>
      <c r="I110" s="64"/>
      <c r="J110" s="64"/>
      <c r="K110" s="64"/>
      <c r="L110" s="64"/>
      <c r="M110" s="64"/>
      <c r="N110" s="64"/>
    </row>
    <row r="111" spans="1:14" ht="12" customHeight="1" x14ac:dyDescent="0.25">
      <c r="A111" s="146"/>
      <c r="B111" s="146"/>
      <c r="C111" s="64"/>
      <c r="D111" s="66"/>
      <c r="E111" s="67"/>
      <c r="F111" s="66"/>
      <c r="G111" s="67"/>
      <c r="H111" s="66"/>
      <c r="I111" s="64"/>
      <c r="J111" s="64"/>
      <c r="K111" s="64"/>
      <c r="L111" s="64"/>
      <c r="M111" s="64"/>
      <c r="N111" s="64"/>
    </row>
    <row r="112" spans="1:14" ht="12" customHeight="1" x14ac:dyDescent="0.25">
      <c r="A112" s="146"/>
      <c r="B112" s="146"/>
      <c r="C112" s="64"/>
      <c r="D112" s="66"/>
      <c r="E112" s="67"/>
      <c r="F112" s="68"/>
      <c r="G112" s="67"/>
      <c r="H112" s="68"/>
      <c r="I112" s="64"/>
      <c r="J112" s="64"/>
      <c r="K112" s="64"/>
      <c r="L112" s="64"/>
      <c r="M112" s="64"/>
      <c r="N112" s="64"/>
    </row>
    <row r="113" spans="1:14" ht="12" customHeight="1" x14ac:dyDescent="0.25">
      <c r="A113" s="146"/>
      <c r="B113" s="146"/>
      <c r="C113" s="64"/>
      <c r="D113" s="68"/>
      <c r="E113" s="67"/>
      <c r="F113" s="66"/>
      <c r="G113" s="67"/>
      <c r="H113" s="68"/>
      <c r="I113" s="64"/>
      <c r="J113" s="64"/>
      <c r="K113" s="64"/>
      <c r="L113" s="64"/>
      <c r="M113" s="64"/>
      <c r="N113" s="64"/>
    </row>
    <row r="114" spans="1:14" ht="12" customHeight="1" x14ac:dyDescent="0.25">
      <c r="A114" s="146"/>
      <c r="B114" s="146"/>
      <c r="C114" s="64"/>
      <c r="D114" s="68"/>
      <c r="E114" s="67"/>
      <c r="F114" s="68"/>
      <c r="G114" s="67"/>
      <c r="H114" s="66"/>
      <c r="I114" s="64"/>
      <c r="J114" s="64"/>
      <c r="K114" s="64"/>
      <c r="L114" s="64"/>
      <c r="M114" s="64"/>
      <c r="N114" s="64"/>
    </row>
    <row r="115" spans="1:14" ht="12" hidden="1" customHeight="1" x14ac:dyDescent="0.25">
      <c r="A115" s="146"/>
      <c r="B115" s="146"/>
      <c r="C115" s="64"/>
      <c r="D115" s="68"/>
      <c r="E115" s="67"/>
      <c r="F115" s="68"/>
      <c r="G115" s="67"/>
      <c r="H115" s="68"/>
      <c r="I115" s="64"/>
      <c r="J115" s="64"/>
      <c r="K115" s="64"/>
      <c r="L115" s="64"/>
      <c r="M115" s="64"/>
      <c r="N115" s="64"/>
    </row>
    <row r="116" spans="1:14" ht="12" customHeight="1" x14ac:dyDescent="0.25">
      <c r="A116" s="146"/>
      <c r="B116" s="146"/>
      <c r="C116" s="64"/>
      <c r="D116" s="66"/>
      <c r="E116" s="67"/>
      <c r="F116" s="66"/>
      <c r="G116" s="67"/>
      <c r="H116" s="66"/>
      <c r="I116" s="64"/>
      <c r="J116" s="64"/>
      <c r="K116" s="64"/>
      <c r="L116" s="64"/>
      <c r="M116" s="64"/>
      <c r="N116" s="64"/>
    </row>
    <row r="117" spans="1:14" ht="12" customHeight="1" x14ac:dyDescent="0.25">
      <c r="A117" s="146"/>
      <c r="B117" s="146"/>
      <c r="C117" s="64"/>
      <c r="D117" s="66"/>
      <c r="E117" s="67"/>
      <c r="F117" s="66"/>
      <c r="G117" s="67"/>
      <c r="H117" s="66"/>
      <c r="I117" s="64"/>
      <c r="J117" s="64"/>
      <c r="K117" s="64"/>
      <c r="L117" s="64"/>
      <c r="M117" s="64"/>
      <c r="N117" s="64"/>
    </row>
    <row r="118" spans="1:14" ht="35.1" customHeight="1" x14ac:dyDescent="0.25">
      <c r="A118" s="64"/>
      <c r="B118" s="64"/>
      <c r="C118" s="64"/>
      <c r="D118" s="64"/>
      <c r="E118" s="64"/>
      <c r="F118" s="64"/>
      <c r="G118" s="64"/>
      <c r="H118" s="64"/>
      <c r="I118" s="64"/>
      <c r="J118" s="64"/>
      <c r="K118" s="64"/>
      <c r="L118" s="64"/>
      <c r="M118" s="64"/>
      <c r="N118" s="64"/>
    </row>
    <row r="119" spans="1:14" x14ac:dyDescent="0.25">
      <c r="A119" s="64"/>
      <c r="B119" s="64"/>
      <c r="C119" s="64"/>
      <c r="D119" s="65"/>
      <c r="E119" s="64"/>
      <c r="F119" s="65"/>
      <c r="G119" s="64"/>
      <c r="H119" s="65"/>
      <c r="I119" s="64"/>
      <c r="J119" s="64"/>
      <c r="K119" s="64"/>
      <c r="L119" s="64"/>
      <c r="M119" s="64"/>
      <c r="N119" s="64"/>
    </row>
    <row r="120" spans="1:14" ht="12" customHeight="1" x14ac:dyDescent="0.25">
      <c r="A120" s="146"/>
      <c r="B120" s="146"/>
      <c r="C120" s="64"/>
      <c r="D120" s="66"/>
      <c r="E120" s="67"/>
      <c r="F120" s="66"/>
      <c r="G120" s="67"/>
      <c r="H120" s="66"/>
      <c r="I120" s="64"/>
      <c r="J120" s="64"/>
      <c r="K120" s="64"/>
      <c r="L120" s="64"/>
      <c r="M120" s="64"/>
      <c r="N120" s="64"/>
    </row>
    <row r="121" spans="1:14" ht="12" customHeight="1" x14ac:dyDescent="0.25">
      <c r="A121" s="146"/>
      <c r="B121" s="146"/>
      <c r="C121" s="64"/>
      <c r="D121" s="66"/>
      <c r="E121" s="67"/>
      <c r="F121" s="66"/>
      <c r="G121" s="67"/>
      <c r="H121" s="66"/>
      <c r="I121" s="64"/>
      <c r="J121" s="64"/>
      <c r="K121" s="64"/>
      <c r="L121" s="64"/>
      <c r="M121" s="64"/>
      <c r="N121" s="64"/>
    </row>
    <row r="122" spans="1:14" ht="12" customHeight="1" x14ac:dyDescent="0.25">
      <c r="A122" s="146"/>
      <c r="B122" s="146"/>
      <c r="C122" s="64"/>
      <c r="D122" s="66"/>
      <c r="E122" s="67"/>
      <c r="F122" s="66"/>
      <c r="G122" s="67"/>
      <c r="H122" s="66"/>
      <c r="I122" s="64"/>
      <c r="J122" s="64"/>
      <c r="K122" s="64"/>
      <c r="L122" s="64"/>
      <c r="M122" s="64"/>
      <c r="N122" s="64"/>
    </row>
    <row r="123" spans="1:14" ht="12" customHeight="1" x14ac:dyDescent="0.25">
      <c r="A123" s="146"/>
      <c r="B123" s="146"/>
      <c r="C123" s="64"/>
      <c r="D123" s="66"/>
      <c r="E123" s="67"/>
      <c r="F123" s="66"/>
      <c r="G123" s="67"/>
      <c r="H123" s="66"/>
      <c r="I123" s="64"/>
      <c r="J123" s="64"/>
      <c r="K123" s="64"/>
      <c r="L123" s="64"/>
      <c r="M123" s="64"/>
      <c r="N123" s="64"/>
    </row>
    <row r="124" spans="1:14" ht="12" customHeight="1" x14ac:dyDescent="0.25">
      <c r="A124" s="146"/>
      <c r="B124" s="146"/>
      <c r="C124" s="64"/>
      <c r="D124" s="66"/>
      <c r="E124" s="67"/>
      <c r="F124" s="66"/>
      <c r="G124" s="67"/>
      <c r="H124" s="66"/>
      <c r="I124" s="64"/>
      <c r="J124" s="64"/>
      <c r="K124" s="64"/>
      <c r="L124" s="64"/>
      <c r="M124" s="64"/>
      <c r="N124" s="64"/>
    </row>
    <row r="125" spans="1:14" ht="12" customHeight="1" x14ac:dyDescent="0.25">
      <c r="A125" s="146"/>
      <c r="B125" s="146"/>
      <c r="C125" s="64"/>
      <c r="D125" s="66"/>
      <c r="E125" s="67"/>
      <c r="F125" s="66"/>
      <c r="G125" s="67"/>
      <c r="H125" s="66"/>
      <c r="I125" s="64"/>
      <c r="J125" s="64"/>
      <c r="K125" s="64"/>
      <c r="L125" s="64"/>
      <c r="M125" s="64"/>
      <c r="N125" s="64"/>
    </row>
    <row r="126" spans="1:14" ht="12" customHeight="1" x14ac:dyDescent="0.25">
      <c r="A126" s="146"/>
      <c r="B126" s="146"/>
      <c r="C126" s="64"/>
      <c r="D126" s="66"/>
      <c r="E126" s="67"/>
      <c r="F126" s="66"/>
      <c r="G126" s="67"/>
      <c r="H126" s="66"/>
      <c r="I126" s="64"/>
      <c r="J126" s="64"/>
      <c r="K126" s="64"/>
      <c r="L126" s="64"/>
      <c r="M126" s="64"/>
      <c r="N126" s="64"/>
    </row>
    <row r="127" spans="1:14" ht="12" customHeight="1" x14ac:dyDescent="0.25">
      <c r="A127" s="146"/>
      <c r="B127" s="146"/>
      <c r="C127" s="64"/>
      <c r="D127" s="66"/>
      <c r="E127" s="67"/>
      <c r="F127" s="68"/>
      <c r="G127" s="67"/>
      <c r="H127" s="68"/>
      <c r="I127" s="64"/>
      <c r="J127" s="64"/>
      <c r="K127" s="64"/>
      <c r="L127" s="64"/>
      <c r="M127" s="64"/>
      <c r="N127" s="64"/>
    </row>
    <row r="128" spans="1:14" ht="12" customHeight="1" x14ac:dyDescent="0.25">
      <c r="A128" s="146"/>
      <c r="B128" s="146"/>
      <c r="C128" s="64"/>
      <c r="D128" s="68"/>
      <c r="E128" s="67"/>
      <c r="F128" s="66"/>
      <c r="G128" s="67"/>
      <c r="H128" s="68"/>
      <c r="I128" s="64"/>
      <c r="J128" s="64"/>
      <c r="K128" s="64"/>
      <c r="L128" s="64"/>
      <c r="M128" s="64"/>
      <c r="N128" s="64"/>
    </row>
    <row r="129" spans="1:14" ht="12" customHeight="1" x14ac:dyDescent="0.25">
      <c r="A129" s="146"/>
      <c r="B129" s="146"/>
      <c r="C129" s="64"/>
      <c r="D129" s="68"/>
      <c r="E129" s="67"/>
      <c r="F129" s="68"/>
      <c r="G129" s="67"/>
      <c r="H129" s="66"/>
      <c r="I129" s="64"/>
      <c r="J129" s="64"/>
      <c r="K129" s="64"/>
      <c r="L129" s="64"/>
      <c r="M129" s="64"/>
      <c r="N129" s="64"/>
    </row>
    <row r="130" spans="1:14" ht="12" hidden="1" customHeight="1" x14ac:dyDescent="0.25">
      <c r="A130" s="146"/>
      <c r="B130" s="146"/>
      <c r="C130" s="64"/>
      <c r="D130" s="68"/>
      <c r="E130" s="67"/>
      <c r="F130" s="68"/>
      <c r="G130" s="67"/>
      <c r="H130" s="68"/>
      <c r="I130" s="64"/>
      <c r="J130" s="64"/>
      <c r="K130" s="64"/>
      <c r="L130" s="64"/>
      <c r="M130" s="64"/>
      <c r="N130" s="64"/>
    </row>
    <row r="131" spans="1:14" ht="12" customHeight="1" x14ac:dyDescent="0.25">
      <c r="A131" s="146"/>
      <c r="B131" s="146"/>
      <c r="C131" s="64"/>
      <c r="D131" s="66"/>
      <c r="E131" s="67"/>
      <c r="F131" s="66"/>
      <c r="G131" s="67"/>
      <c r="H131" s="66"/>
      <c r="I131" s="64"/>
      <c r="J131" s="64"/>
      <c r="K131" s="64"/>
      <c r="L131" s="64"/>
      <c r="M131" s="64"/>
      <c r="N131" s="64"/>
    </row>
    <row r="132" spans="1:14" ht="12" customHeight="1" x14ac:dyDescent="0.25">
      <c r="A132" s="146"/>
      <c r="B132" s="146"/>
      <c r="C132" s="64"/>
      <c r="D132" s="66"/>
      <c r="E132" s="67"/>
      <c r="F132" s="66"/>
      <c r="G132" s="67"/>
      <c r="H132" s="66"/>
      <c r="I132" s="64"/>
      <c r="J132" s="64"/>
      <c r="K132" s="64"/>
      <c r="L132" s="64"/>
      <c r="M132" s="64"/>
      <c r="N132" s="64"/>
    </row>
    <row r="133" spans="1:14" x14ac:dyDescent="0.25">
      <c r="A133" s="64"/>
      <c r="B133" s="64"/>
      <c r="C133" s="64"/>
      <c r="D133" s="64"/>
      <c r="E133" s="64"/>
      <c r="F133" s="64"/>
      <c r="G133" s="64"/>
      <c r="H133" s="64"/>
      <c r="I133" s="64"/>
      <c r="J133" s="64"/>
      <c r="K133" s="64"/>
      <c r="L133" s="64"/>
      <c r="M133" s="64"/>
      <c r="N133" s="64"/>
    </row>
    <row r="134" spans="1:14" x14ac:dyDescent="0.25">
      <c r="A134" s="64"/>
      <c r="B134" s="64"/>
      <c r="C134" s="64"/>
      <c r="D134" s="64"/>
      <c r="E134" s="64"/>
      <c r="F134" s="64"/>
      <c r="G134" s="64"/>
      <c r="H134" s="64"/>
      <c r="I134" s="64"/>
      <c r="J134" s="64"/>
      <c r="K134" s="64"/>
      <c r="L134" s="64"/>
      <c r="M134" s="64"/>
      <c r="N134" s="64"/>
    </row>
  </sheetData>
  <sheetProtection algorithmName="SHA-512" hashValue="vvy7OK7MpilOI82RFJ70S8nWKdMGmyi3f7dBxqpCifzJJ7aVf5gBOTn0Ac6cgRQ37pUkArVqhyTRvq/ASnPm1g==" saltValue="vJ4VZidw9H19tHEiv2TBZw==" spinCount="100000" sheet="1" objects="1" scenarios="1" selectLockedCells="1"/>
  <mergeCells count="67">
    <mergeCell ref="A132:B132"/>
    <mergeCell ref="A123:B123"/>
    <mergeCell ref="A124:B124"/>
    <mergeCell ref="A126:B126"/>
    <mergeCell ref="A127:B127"/>
    <mergeCell ref="A128:B128"/>
    <mergeCell ref="A129:B129"/>
    <mergeCell ref="A125:B125"/>
    <mergeCell ref="A120:B120"/>
    <mergeCell ref="A121:B121"/>
    <mergeCell ref="A122:B122"/>
    <mergeCell ref="A130:B130"/>
    <mergeCell ref="A131:B131"/>
    <mergeCell ref="A114:B114"/>
    <mergeCell ref="A110:B110"/>
    <mergeCell ref="A115:B115"/>
    <mergeCell ref="A116:B116"/>
    <mergeCell ref="A117:B117"/>
    <mergeCell ref="A108:B108"/>
    <mergeCell ref="A109:B109"/>
    <mergeCell ref="A111:B111"/>
    <mergeCell ref="A112:B112"/>
    <mergeCell ref="A113:B113"/>
    <mergeCell ref="A105:B105"/>
    <mergeCell ref="A106:B106"/>
    <mergeCell ref="A107:B107"/>
    <mergeCell ref="A103:J103"/>
    <mergeCell ref="A76:B76"/>
    <mergeCell ref="A80:B80"/>
    <mergeCell ref="A85:B85"/>
    <mergeCell ref="A86:B86"/>
    <mergeCell ref="A84:B84"/>
    <mergeCell ref="A87:B87"/>
    <mergeCell ref="A81:B81"/>
    <mergeCell ref="A82:B82"/>
    <mergeCell ref="A83:B83"/>
    <mergeCell ref="A23:B23"/>
    <mergeCell ref="A24:B24"/>
    <mergeCell ref="A25:B25"/>
    <mergeCell ref="H29:J29"/>
    <mergeCell ref="H30:J30"/>
    <mergeCell ref="F1:N2"/>
    <mergeCell ref="A14:B14"/>
    <mergeCell ref="A6:B6"/>
    <mergeCell ref="A7:B7"/>
    <mergeCell ref="A8:B8"/>
    <mergeCell ref="A9:B9"/>
    <mergeCell ref="A10:B10"/>
    <mergeCell ref="A11:B11"/>
    <mergeCell ref="A12:B12"/>
    <mergeCell ref="A13:B13"/>
    <mergeCell ref="B44:N44"/>
    <mergeCell ref="B58:N58"/>
    <mergeCell ref="A5:B5"/>
    <mergeCell ref="A18:B18"/>
    <mergeCell ref="A79:B79"/>
    <mergeCell ref="A21:B21"/>
    <mergeCell ref="A77:B77"/>
    <mergeCell ref="A78:B78"/>
    <mergeCell ref="A75:B75"/>
    <mergeCell ref="B35:N35"/>
    <mergeCell ref="A22:B22"/>
    <mergeCell ref="H31:J31"/>
    <mergeCell ref="A20:B20"/>
    <mergeCell ref="A15:B15"/>
    <mergeCell ref="A16:B16"/>
    <mergeCell ref="A19:B19"/>
  </mergeCells>
  <phoneticPr fontId="7" type="noConversion"/>
  <conditionalFormatting sqref="D81 F80:F81">
    <cfRule type="expression" dxfId="6" priority="17" stopIfTrue="1">
      <formula>D80=MIN($D$81,$F$81,$H$81,$J$81)</formula>
    </cfRule>
  </conditionalFormatting>
  <conditionalFormatting sqref="F38:F40 F47:F54">
    <cfRule type="expression" dxfId="5" priority="18" stopIfTrue="1">
      <formula>OR($L$29="ListEE",$L$29="ListCH")</formula>
    </cfRule>
  </conditionalFormatting>
  <conditionalFormatting sqref="H38:H40 J38:J40 L38:L40 N38:N40 H47:H54 J47:J54 L47:L54 N47:N54">
    <cfRule type="expression" dxfId="4" priority="19" stopIfTrue="1">
      <formula>OR($L$29="ListEE",$L$29="ListSP")</formula>
    </cfRule>
  </conditionalFormatting>
  <conditionalFormatting sqref="D96 F96">
    <cfRule type="expression" dxfId="3" priority="9" stopIfTrue="1">
      <formula>D96=MIN($D$96,$F$96,$H$96,$J$96)</formula>
    </cfRule>
  </conditionalFormatting>
  <conditionalFormatting sqref="D80">
    <cfRule type="expression" dxfId="2" priority="8" stopIfTrue="1">
      <formula>D80=MIN($D$81,$F$81,$H$81,$J$81)</formula>
    </cfRule>
  </conditionalFormatting>
  <conditionalFormatting sqref="H80:H81">
    <cfRule type="expression" dxfId="1" priority="2" stopIfTrue="1">
      <formula>H80=MIN($D$81,$F$81,$H$81,$J$81)</formula>
    </cfRule>
  </conditionalFormatting>
  <conditionalFormatting sqref="J80:J81">
    <cfRule type="expression" dxfId="0" priority="1" stopIfTrue="1">
      <formula>J80=MIN($D$81,$F$81,$H$81,$J$81)</formula>
    </cfRule>
  </conditionalFormatting>
  <dataValidations xWindow="423" yWindow="551" count="15">
    <dataValidation type="list" allowBlank="1" showInputMessage="1" showErrorMessage="1" prompt="Make a selection from the drop-down box." sqref="H29">
      <formula1>Tiers</formula1>
    </dataValidation>
    <dataValidation type="list" allowBlank="1" showInputMessage="1" showErrorMessage="1" sqref="H30">
      <formula1>SurchargeSP</formula1>
    </dataValidation>
    <dataValidation type="list" allowBlank="1" showInputMessage="1" showErrorMessage="1" sqref="H31:J31">
      <formula1>"Age55+,&lt;55"</formula1>
    </dataValidation>
    <dataValidation type="whole" operator="greaterThanOrEqual" allowBlank="1" showInputMessage="1" showErrorMessage="1" prompt="Enter # of visits in next 12 months." sqref="D38:D40 D47 N47 L47 J47 H47 F47 N38:N40 L38:L40 J38:J40 H38:H40 F38:F40">
      <formula1>0</formula1>
    </dataValidation>
    <dataValidation type="whole" operator="greaterThanOrEqual" allowBlank="1" showInputMessage="1" showErrorMessage="1" prompt="Enter # of confinements in next 12 months." sqref="D48 N48 L48 J48 H48 F48">
      <formula1>0</formula1>
    </dataValidation>
    <dataValidation type="whole" operator="greaterThanOrEqual" allowBlank="1" showInputMessage="1" showErrorMessage="1" prompt="Enter an estimated dollar amount." sqref="D49:D54 N49:N54 L49:L54 J49:J54 H49:H54 F49:F54">
      <formula1>0</formula1>
    </dataValidation>
    <dataValidation allowBlank="1" showInputMessage="1" showErrorMessage="1" promptTitle="Enter a brief description" prompt="such as Pregnancy, Surgery, MRI, etc.,_x000a_then enter a dollar value under the respective individual(s)." sqref="B49:B54"/>
    <dataValidation allowBlank="1" showInputMessage="1" showErrorMessage="1" prompt="Enter a brief description, such as BP, Insulin, or Antibiotic" sqref="B61:B70"/>
    <dataValidation type="list" allowBlank="1" showInputMessage="1" showErrorMessage="1" prompt="Select a family member" sqref="D61:D70">
      <formula1>INDIRECT($L$29)</formula1>
    </dataValidation>
    <dataValidation type="whole" operator="greaterThanOrEqual" allowBlank="1" showInputMessage="1" showErrorMessage="1" prompt="Enter # of times per year this script will be filled." sqref="F61:F70">
      <formula1>0</formula1>
    </dataValidation>
    <dataValidation type="list" allowBlank="1" showInputMessage="1" showErrorMessage="1" prompt="Select drug type" sqref="H61:H70">
      <formula1>RxTiers</formula1>
    </dataValidation>
    <dataValidation type="whole" operator="greaterThanOrEqual" allowBlank="1" showInputMessage="1" showErrorMessage="1" promptTitle="Monthly Cost After Discounting" prompt="You may override the default assumption." sqref="J61:J70">
      <formula1>0</formula1>
    </dataValidation>
    <dataValidation allowBlank="1" showInputMessage="1" showErrorMessage="1" prompt="You may type a name here if you wish." sqref="H37 N37 L37 J37"/>
    <dataValidation type="list" allowBlank="1" showInputMessage="1" showErrorMessage="1" sqref="D18 D5 F5 J18 H5 H18 J5 F18">
      <formula1>"Yes,No"</formula1>
    </dataValidation>
    <dataValidation type="list" allowBlank="1" showInputMessage="1" showErrorMessage="1" sqref="D17 J17 H17 F17">
      <formula1>"Yes,No,N/A"</formula1>
    </dataValidation>
  </dataValidations>
  <printOptions horizontalCentered="1"/>
  <pageMargins left="0.25" right="0.25" top="0.4" bottom="0.5" header="0.25" footer="0.25"/>
  <pageSetup scale="66" orientation="portrait" r:id="rId1"/>
  <headerFooter alignWithMargins="0">
    <oddFooter>&amp;L&amp;"Century Gothic,Bold Italic"&amp;D&amp;R&amp;G</oddFooter>
  </headerFooter>
  <rowBreaks count="1" manualBreakCount="1">
    <brk id="70"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5"/>
  <sheetViews>
    <sheetView showGridLines="0" workbookViewId="0">
      <selection activeCell="K11" sqref="K11"/>
    </sheetView>
  </sheetViews>
  <sheetFormatPr defaultColWidth="9.140625" defaultRowHeight="13.5" x14ac:dyDescent="0.25"/>
  <cols>
    <col min="1" max="1" width="25.5703125" style="1" bestFit="1" customWidth="1"/>
    <col min="2" max="2" width="1.7109375" style="1" customWidth="1"/>
    <col min="3" max="3" width="14.7109375" style="1" customWidth="1"/>
    <col min="4" max="4" width="1.7109375" style="1" customWidth="1"/>
    <col min="5" max="5" width="14.7109375" style="1" customWidth="1"/>
    <col min="6" max="6" width="1.7109375" style="1" customWidth="1"/>
    <col min="7" max="7" width="14.7109375" style="1" customWidth="1"/>
    <col min="8" max="8" width="1.7109375" style="1" customWidth="1"/>
    <col min="9" max="9" width="14.7109375" style="1" customWidth="1"/>
    <col min="10" max="10" width="1.7109375" style="1" customWidth="1"/>
    <col min="11" max="11" width="14.7109375" style="1" customWidth="1"/>
    <col min="12" max="12" width="9.140625" style="1"/>
    <col min="13" max="13" width="17.28515625" style="1" customWidth="1"/>
    <col min="14" max="14" width="2.28515625" style="1" customWidth="1"/>
    <col min="15" max="15" width="14.7109375" style="1" customWidth="1"/>
    <col min="16" max="16" width="1.7109375" style="1" customWidth="1"/>
    <col min="17" max="17" width="14.7109375" style="1" customWidth="1"/>
    <col min="18" max="18" width="1.7109375" style="1" customWidth="1"/>
    <col min="19" max="19" width="14.7109375" style="1" customWidth="1"/>
    <col min="20" max="20" width="1.7109375" style="1" customWidth="1"/>
    <col min="21" max="21" width="14.7109375" style="1" customWidth="1"/>
    <col min="22" max="22" width="1.7109375" style="1" customWidth="1"/>
    <col min="23" max="23" width="12.7109375" style="1" customWidth="1"/>
    <col min="24" max="24" width="9.140625" style="1"/>
    <col min="25" max="25" width="15.5703125" style="1" customWidth="1"/>
    <col min="26" max="26" width="1.7109375" style="1" customWidth="1"/>
    <col min="27" max="27" width="14.7109375" style="1" customWidth="1"/>
    <col min="28" max="28" width="1.7109375" style="1" customWidth="1"/>
    <col min="29" max="29" width="14.7109375" style="1" customWidth="1"/>
    <col min="30" max="30" width="1.7109375" style="1" customWidth="1"/>
    <col min="31" max="31" width="14.7109375" style="1" customWidth="1"/>
    <col min="32" max="32" width="1.7109375" style="1" customWidth="1"/>
    <col min="33" max="33" width="14.7109375" style="1" customWidth="1"/>
    <col min="34" max="34" width="1.7109375" style="1" customWidth="1"/>
    <col min="35" max="35" width="14.7109375" style="1" customWidth="1"/>
    <col min="36" max="36" width="9.140625" style="1"/>
    <col min="37" max="37" width="16.42578125" style="1" customWidth="1"/>
    <col min="38" max="38" width="1.7109375" style="1" customWidth="1"/>
    <col min="39" max="39" width="14.7109375" style="1" customWidth="1"/>
    <col min="40" max="40" width="1.7109375" style="1" customWidth="1"/>
    <col min="41" max="41" width="14.7109375" style="1" customWidth="1"/>
    <col min="42" max="42" width="1.7109375" style="1" customWidth="1"/>
    <col min="43" max="43" width="14.7109375" style="1" customWidth="1"/>
    <col min="44" max="44" width="1.7109375" style="1" customWidth="1"/>
    <col min="45" max="45" width="14.7109375" style="1" customWidth="1"/>
    <col min="46" max="46" width="1.7109375" style="1" customWidth="1"/>
    <col min="47" max="47" width="14.7109375" style="1" customWidth="1"/>
    <col min="48" max="16384" width="9.140625" style="1"/>
  </cols>
  <sheetData>
    <row r="1" spans="1:47" ht="82.5" customHeight="1" x14ac:dyDescent="0.25">
      <c r="A1" s="157" t="s">
        <v>77</v>
      </c>
      <c r="B1" s="158"/>
      <c r="C1" s="158"/>
      <c r="D1" s="158"/>
      <c r="E1" s="158"/>
      <c r="F1" s="158"/>
      <c r="G1" s="158"/>
      <c r="H1" s="158"/>
      <c r="I1" s="158"/>
      <c r="J1" s="158"/>
      <c r="K1" s="158"/>
      <c r="L1" s="18"/>
    </row>
    <row r="3" spans="1:47" ht="51.75" thickBot="1" x14ac:dyDescent="0.3">
      <c r="A3" s="60"/>
      <c r="C3" s="8" t="str">
        <f>Comparison!D4</f>
        <v>Opt 1 $1,500</v>
      </c>
      <c r="E3" s="8" t="str">
        <f>Comparison!F4</f>
        <v>Opt 2 $2,500</v>
      </c>
      <c r="G3" s="8" t="str">
        <f>Comparison!H4</f>
        <v>Opt 3 $3,500 HSA</v>
      </c>
      <c r="I3" s="8" t="str">
        <f>Comparison!J4</f>
        <v>Opt 4 $5,000 HSA</v>
      </c>
      <c r="K3" s="8" t="s">
        <v>76</v>
      </c>
      <c r="O3" s="8"/>
      <c r="Q3" s="8"/>
      <c r="S3" s="8"/>
      <c r="U3" s="8">
        <f>Comparison!V4</f>
        <v>0</v>
      </c>
      <c r="W3" s="8" t="s">
        <v>76</v>
      </c>
      <c r="AA3" s="8"/>
      <c r="AC3" s="8"/>
      <c r="AE3" s="8"/>
      <c r="AG3" s="8"/>
      <c r="AI3" s="8"/>
      <c r="AM3" s="8"/>
      <c r="AO3" s="8"/>
      <c r="AQ3" s="8"/>
      <c r="AS3" s="8"/>
      <c r="AU3" s="8"/>
    </row>
    <row r="4" spans="1:47" x14ac:dyDescent="0.25">
      <c r="A4" s="5" t="s">
        <v>13</v>
      </c>
      <c r="B4" s="11" t="s">
        <v>30</v>
      </c>
      <c r="C4" s="19">
        <v>203</v>
      </c>
      <c r="E4" s="19">
        <v>183</v>
      </c>
      <c r="G4" s="19">
        <v>164</v>
      </c>
      <c r="I4" s="19">
        <v>121</v>
      </c>
      <c r="K4" s="19">
        <v>1000</v>
      </c>
      <c r="M4" s="5" t="s">
        <v>13</v>
      </c>
      <c r="N4" s="11" t="s">
        <v>30</v>
      </c>
      <c r="O4" s="19"/>
      <c r="Q4" s="19"/>
      <c r="S4" s="41"/>
      <c r="U4" s="19"/>
      <c r="W4" s="19">
        <v>1000</v>
      </c>
      <c r="Y4" s="5" t="s">
        <v>13</v>
      </c>
      <c r="Z4" s="11" t="s">
        <v>30</v>
      </c>
      <c r="AA4" s="19"/>
      <c r="AC4" s="19"/>
      <c r="AE4" s="19"/>
      <c r="AG4" s="19"/>
      <c r="AI4" s="19"/>
      <c r="AK4" s="5" t="s">
        <v>13</v>
      </c>
      <c r="AL4" s="11" t="s">
        <v>30</v>
      </c>
      <c r="AM4" s="19"/>
      <c r="AO4" s="19"/>
      <c r="AQ4" s="19"/>
      <c r="AS4" s="19"/>
      <c r="AU4" s="19"/>
    </row>
    <row r="5" spans="1:47" x14ac:dyDescent="0.25">
      <c r="A5" s="6" t="s">
        <v>14</v>
      </c>
      <c r="B5" s="11" t="s">
        <v>31</v>
      </c>
      <c r="C5" s="20">
        <v>398</v>
      </c>
      <c r="E5" s="20">
        <v>356</v>
      </c>
      <c r="G5" s="20">
        <v>317</v>
      </c>
      <c r="I5" s="20">
        <v>228</v>
      </c>
      <c r="K5" s="20">
        <v>1500</v>
      </c>
      <c r="M5" s="6" t="s">
        <v>14</v>
      </c>
      <c r="N5" s="11" t="s">
        <v>31</v>
      </c>
      <c r="O5" s="20"/>
      <c r="Q5" s="20"/>
      <c r="S5" s="20"/>
      <c r="U5" s="20"/>
      <c r="W5" s="20">
        <v>1500</v>
      </c>
      <c r="Y5" s="6" t="s">
        <v>14</v>
      </c>
      <c r="Z5" s="11" t="s">
        <v>31</v>
      </c>
      <c r="AA5" s="20"/>
      <c r="AC5" s="20"/>
      <c r="AE5" s="20"/>
      <c r="AG5" s="20"/>
      <c r="AI5" s="20"/>
      <c r="AK5" s="6" t="s">
        <v>14</v>
      </c>
      <c r="AL5" s="11" t="s">
        <v>31</v>
      </c>
      <c r="AM5" s="20"/>
      <c r="AO5" s="20"/>
      <c r="AQ5" s="20"/>
      <c r="AS5" s="20"/>
      <c r="AU5" s="20"/>
    </row>
    <row r="6" spans="1:47" x14ac:dyDescent="0.25">
      <c r="A6" s="6" t="s">
        <v>15</v>
      </c>
      <c r="B6" s="11" t="s">
        <v>32</v>
      </c>
      <c r="C6" s="20">
        <v>367</v>
      </c>
      <c r="E6" s="20">
        <v>328</v>
      </c>
      <c r="G6" s="20">
        <v>293</v>
      </c>
      <c r="I6" s="20">
        <v>215</v>
      </c>
      <c r="K6" s="20">
        <v>1500</v>
      </c>
      <c r="M6" s="6" t="s">
        <v>15</v>
      </c>
      <c r="N6" s="11" t="s">
        <v>32</v>
      </c>
      <c r="O6" s="20"/>
      <c r="Q6" s="20"/>
      <c r="S6" s="20"/>
      <c r="U6" s="20"/>
      <c r="W6" s="20">
        <v>1500</v>
      </c>
      <c r="Y6" s="6" t="s">
        <v>15</v>
      </c>
      <c r="Z6" s="11" t="s">
        <v>32</v>
      </c>
      <c r="AA6" s="20"/>
      <c r="AC6" s="20"/>
      <c r="AE6" s="20"/>
      <c r="AG6" s="20"/>
      <c r="AI6" s="20"/>
      <c r="AK6" s="6" t="s">
        <v>15</v>
      </c>
      <c r="AL6" s="11" t="s">
        <v>32</v>
      </c>
      <c r="AM6" s="20"/>
      <c r="AO6" s="20"/>
      <c r="AQ6" s="20"/>
      <c r="AS6" s="20"/>
      <c r="AU6" s="20"/>
    </row>
    <row r="7" spans="1:47" x14ac:dyDescent="0.25">
      <c r="A7" s="6" t="s">
        <v>16</v>
      </c>
      <c r="B7" s="11" t="s">
        <v>33</v>
      </c>
      <c r="C7" s="20">
        <v>562</v>
      </c>
      <c r="E7" s="20">
        <v>501</v>
      </c>
      <c r="G7" s="20">
        <v>451</v>
      </c>
      <c r="I7" s="20">
        <v>317</v>
      </c>
      <c r="K7" s="20">
        <v>1500</v>
      </c>
      <c r="M7" s="6" t="s">
        <v>16</v>
      </c>
      <c r="N7" s="11" t="s">
        <v>33</v>
      </c>
      <c r="O7" s="20"/>
      <c r="Q7" s="20"/>
      <c r="S7" s="20"/>
      <c r="U7" s="20"/>
      <c r="W7" s="20">
        <v>1500</v>
      </c>
      <c r="Y7" s="6" t="s">
        <v>16</v>
      </c>
      <c r="Z7" s="11" t="s">
        <v>33</v>
      </c>
      <c r="AA7" s="20"/>
      <c r="AC7" s="20"/>
      <c r="AE7" s="20"/>
      <c r="AG7" s="20"/>
      <c r="AI7" s="20"/>
      <c r="AK7" s="6" t="s">
        <v>16</v>
      </c>
      <c r="AL7" s="11" t="s">
        <v>33</v>
      </c>
      <c r="AM7" s="20"/>
      <c r="AO7" s="20"/>
      <c r="AQ7" s="20"/>
      <c r="AS7" s="20"/>
      <c r="AU7" s="20"/>
    </row>
    <row r="9" spans="1:47" x14ac:dyDescent="0.25">
      <c r="A9" s="5" t="str">
        <f>"$"&amp;C9&amp;" Spouse Surcharge Applies"</f>
        <v>$0 Spouse Surcharge Applies</v>
      </c>
      <c r="C9" s="21">
        <v>0</v>
      </c>
      <c r="I9" s="15" t="s">
        <v>55</v>
      </c>
      <c r="K9" s="17">
        <v>2500</v>
      </c>
    </row>
    <row r="10" spans="1:47" x14ac:dyDescent="0.25">
      <c r="A10" s="6" t="s">
        <v>34</v>
      </c>
      <c r="C10" s="12"/>
      <c r="I10" s="15" t="s">
        <v>56</v>
      </c>
      <c r="K10" s="17">
        <v>5500</v>
      </c>
    </row>
    <row r="11" spans="1:47" x14ac:dyDescent="0.25">
      <c r="I11" s="15" t="s">
        <v>59</v>
      </c>
      <c r="K11" s="17">
        <v>1000</v>
      </c>
    </row>
    <row r="12" spans="1:47" x14ac:dyDescent="0.25">
      <c r="I12" s="15" t="s">
        <v>71</v>
      </c>
      <c r="K12" s="17"/>
    </row>
    <row r="13" spans="1:47" x14ac:dyDescent="0.25">
      <c r="I13" s="15" t="s">
        <v>72</v>
      </c>
      <c r="K13" s="17"/>
    </row>
    <row r="14" spans="1:47" x14ac:dyDescent="0.25">
      <c r="I14" s="15" t="s">
        <v>73</v>
      </c>
      <c r="K14" s="17"/>
    </row>
    <row r="15" spans="1:47" x14ac:dyDescent="0.25">
      <c r="A15" s="1" t="s">
        <v>19</v>
      </c>
    </row>
    <row r="17" spans="1:1" x14ac:dyDescent="0.25">
      <c r="A17" s="1" t="s">
        <v>19</v>
      </c>
    </row>
    <row r="18" spans="1:1" x14ac:dyDescent="0.25">
      <c r="A18" s="1" t="s">
        <v>20</v>
      </c>
    </row>
    <row r="20" spans="1:1" x14ac:dyDescent="0.25">
      <c r="A20" s="1" t="s">
        <v>19</v>
      </c>
    </row>
    <row r="21" spans="1:1" x14ac:dyDescent="0.25">
      <c r="A21" s="1" t="str">
        <f>child1</f>
        <v>Child 1</v>
      </c>
    </row>
    <row r="22" spans="1:1" x14ac:dyDescent="0.25">
      <c r="A22" s="1" t="str">
        <f>child2</f>
        <v>Child 2</v>
      </c>
    </row>
    <row r="23" spans="1:1" x14ac:dyDescent="0.25">
      <c r="A23" s="1" t="str">
        <f>child3</f>
        <v>Child 3</v>
      </c>
    </row>
    <row r="24" spans="1:1" x14ac:dyDescent="0.25">
      <c r="A24" s="1" t="str">
        <f>child4</f>
        <v>Child 4</v>
      </c>
    </row>
    <row r="26" spans="1:1" x14ac:dyDescent="0.25">
      <c r="A26" s="1" t="s">
        <v>19</v>
      </c>
    </row>
    <row r="27" spans="1:1" x14ac:dyDescent="0.25">
      <c r="A27" s="1" t="s">
        <v>20</v>
      </c>
    </row>
    <row r="28" spans="1:1" x14ac:dyDescent="0.25">
      <c r="A28" s="1" t="str">
        <f>child1</f>
        <v>Child 1</v>
      </c>
    </row>
    <row r="29" spans="1:1" x14ac:dyDescent="0.25">
      <c r="A29" s="1" t="str">
        <f>child2</f>
        <v>Child 2</v>
      </c>
    </row>
    <row r="30" spans="1:1" x14ac:dyDescent="0.25">
      <c r="A30" s="1" t="str">
        <f>child3</f>
        <v>Child 3</v>
      </c>
    </row>
    <row r="31" spans="1:1" x14ac:dyDescent="0.25">
      <c r="A31" s="1" t="str">
        <f>child4</f>
        <v>Child 4</v>
      </c>
    </row>
    <row r="33" spans="1:3" x14ac:dyDescent="0.25">
      <c r="A33" s="1" t="s">
        <v>93</v>
      </c>
      <c r="C33" s="1">
        <v>15</v>
      </c>
    </row>
    <row r="34" spans="1:3" x14ac:dyDescent="0.25">
      <c r="A34" s="1" t="s">
        <v>94</v>
      </c>
      <c r="C34" s="1">
        <v>50</v>
      </c>
    </row>
    <row r="35" spans="1:3" x14ac:dyDescent="0.25">
      <c r="A35" s="1" t="s">
        <v>95</v>
      </c>
      <c r="C35" s="1">
        <v>75</v>
      </c>
    </row>
  </sheetData>
  <sheetProtection selectLockedCells="1" selectUnlockedCells="1"/>
  <mergeCells count="1">
    <mergeCell ref="A1:K1"/>
  </mergeCells>
  <phoneticPr fontId="7" type="noConversion"/>
  <pageMargins left="0.75" right="0.75" top="1" bottom="1" header="0.5" footer="0.5"/>
  <pageSetup scale="8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64697ec-cd3a-4e09-ba53-de0594102586">35SUMS6KPSKV-92-630</_dlc_DocId>
    <_dlc_DocIdUrl xmlns="664697ec-cd3a-4e09-ba53-de0594102586">
      <Url>https://intranet2.watc.edu/HR/_layouts/DocIdRedir.aspx?ID=35SUMS6KPSKV-92-630</Url>
      <Description>35SUMS6KPSKV-92-630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F74BEE1418474FB3CB84D8A7042A42" ma:contentTypeVersion="5" ma:contentTypeDescription="Create a new document." ma:contentTypeScope="" ma:versionID="6b4698b6d364f6d7a8a5ebacdc6a8d5e">
  <xsd:schema xmlns:xsd="http://www.w3.org/2001/XMLSchema" xmlns:xs="http://www.w3.org/2001/XMLSchema" xmlns:p="http://schemas.microsoft.com/office/2006/metadata/properties" xmlns:ns2="664697ec-cd3a-4e09-ba53-de0594102586" targetNamespace="http://schemas.microsoft.com/office/2006/metadata/properties" ma:root="true" ma:fieldsID="cadae8a665318bd14d608facfac53b57" ns2:_="">
    <xsd:import namespace="664697ec-cd3a-4e09-ba53-de059410258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4697ec-cd3a-4e09-ba53-de059410258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C92403-D41A-4939-8374-D027022BE155}">
  <ds:schemaRefs>
    <ds:schemaRef ds:uri="http://schemas.microsoft.com/office/2006/documentManagement/types"/>
    <ds:schemaRef ds:uri="http://schemas.microsoft.com/office/2006/metadata/properties"/>
    <ds:schemaRef ds:uri="664697ec-cd3a-4e09-ba53-de0594102586"/>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F6789FBE-1D99-4FA1-8DC0-823D1E5931A0}">
  <ds:schemaRefs>
    <ds:schemaRef ds:uri="http://schemas.microsoft.com/sharepoint/v3/contenttype/forms"/>
  </ds:schemaRefs>
</ds:datastoreItem>
</file>

<file path=customXml/itemProps3.xml><?xml version="1.0" encoding="utf-8"?>
<ds:datastoreItem xmlns:ds="http://schemas.openxmlformats.org/officeDocument/2006/customXml" ds:itemID="{EB0A2D7F-AFC8-43ED-B224-54632FE59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4697ec-cd3a-4e09-ba53-de05941025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08EFE6-023C-4E1A-85A8-058567BDD6A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26</vt:i4>
      </vt:variant>
    </vt:vector>
  </HeadingPairs>
  <TitlesOfParts>
    <vt:vector size="28" baseType="lpstr">
      <vt:lpstr>Comparison</vt:lpstr>
      <vt:lpstr>Rates</vt:lpstr>
      <vt:lpstr>BrandOOP</vt:lpstr>
      <vt:lpstr>child1</vt:lpstr>
      <vt:lpstr>child2</vt:lpstr>
      <vt:lpstr>child3</vt:lpstr>
      <vt:lpstr>child4</vt:lpstr>
      <vt:lpstr>GenericOOP</vt:lpstr>
      <vt:lpstr>HSAcatchup</vt:lpstr>
      <vt:lpstr>HSAfamily</vt:lpstr>
      <vt:lpstr>HSAsingle</vt:lpstr>
      <vt:lpstr>ListCH</vt:lpstr>
      <vt:lpstr>ListEE</vt:lpstr>
      <vt:lpstr>ListFAM</vt:lpstr>
      <vt:lpstr>ListSP</vt:lpstr>
      <vt:lpstr>NonFormularyOOP</vt:lpstr>
      <vt:lpstr>Comparison!Print_Area</vt:lpstr>
      <vt:lpstr>Rates!Print_Area</vt:lpstr>
      <vt:lpstr>RateLookup</vt:lpstr>
      <vt:lpstr>RateLookup2</vt:lpstr>
      <vt:lpstr>RateLookup3</vt:lpstr>
      <vt:lpstr>RateLookup4</vt:lpstr>
      <vt:lpstr>RxDefaults</vt:lpstr>
      <vt:lpstr>RxTiers</vt:lpstr>
      <vt:lpstr>SPcharge</vt:lpstr>
      <vt:lpstr>SurchargeSP</vt:lpstr>
      <vt:lpstr>TierLookup</vt:lpstr>
      <vt:lpstr>Tiers</vt:lpstr>
    </vt:vector>
  </TitlesOfParts>
  <Company>IMA Financial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kcr</dc:creator>
  <cp:lastModifiedBy>Stacy Van Stipdonk</cp:lastModifiedBy>
  <cp:lastPrinted>2018-04-23T20:38:48Z</cp:lastPrinted>
  <dcterms:created xsi:type="dcterms:W3CDTF">2009-11-16T14:26:43Z</dcterms:created>
  <dcterms:modified xsi:type="dcterms:W3CDTF">2019-05-14T19:29:35Z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f0c1a58b-c682-41de-ac07-fd272ef076b1</vt:lpwstr>
  </property>
  <property fmtid="{D5CDD505-2E9C-101B-9397-08002B2CF9AE}" pid="3" name="ContentTypeId">
    <vt:lpwstr>0x01010005F74BEE1418474FB3CB84D8A7042A42</vt:lpwstr>
  </property>
</Properties>
</file>